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6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1"/>
  <workbookPr/>
  <mc:AlternateContent xmlns:mc="http://schemas.openxmlformats.org/markup-compatibility/2006">
    <mc:Choice Requires="x15">
      <x15ac:absPath xmlns:x15ac="http://schemas.microsoft.com/office/spreadsheetml/2010/11/ac" url="/Users/danyellambert/Downloads/"/>
    </mc:Choice>
  </mc:AlternateContent>
  <xr:revisionPtr revIDLastSave="0" documentId="13_ncr:1_{EC5853CB-BA0D-C44E-A36C-D413B976157C}" xr6:coauthVersionLast="47" xr6:coauthVersionMax="47" xr10:uidLastSave="{00000000-0000-0000-0000-000000000000}"/>
  <bookViews>
    <workbookView xWindow="0" yWindow="660" windowWidth="30240" windowHeight="17680" xr2:uid="{00000000-000D-0000-FFFF-FFFF00000000}"/>
  </bookViews>
  <sheets>
    <sheet name="00_Cover" sheetId="1" r:id="rId1"/>
    <sheet name="01_Portfolio_Input" sheetId="2" r:id="rId2"/>
    <sheet name="02_Company_Emissions" sheetId="3" r:id="rId3"/>
    <sheet name="03_Financed_Emissions" sheetId="4" r:id="rId4"/>
    <sheet name="04_Portfolio_KPIs" sheetId="5" r:id="rId5"/>
    <sheet name="05_Sector_Pathways" sheetId="6" r:id="rId6"/>
    <sheet name="06_Alignment_Analysis" sheetId="7" r:id="rId7"/>
    <sheet name="07_Transaction_Simulator" sheetId="8" r:id="rId8"/>
    <sheet name="08_Data_Quality" sheetId="9" r:id="rId9"/>
    <sheet name="09_Dashboard" sheetId="10" r:id="rId10"/>
    <sheet name="10_Assumptions" sheetId="11" r:id="rId11"/>
    <sheet name="11_QA_Checks" sheetId="12" r:id="rId12"/>
  </sheet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0" i="12" l="1"/>
  <c r="D10" i="12" s="1"/>
  <c r="C9" i="12"/>
  <c r="D9" i="12" s="1"/>
  <c r="C8" i="12"/>
  <c r="D8" i="12" s="1"/>
  <c r="C7" i="12"/>
  <c r="D7" i="12" s="1"/>
  <c r="C6" i="12"/>
  <c r="D6" i="12" s="1"/>
  <c r="AC11" i="10"/>
  <c r="AC10" i="10"/>
  <c r="AC9" i="10"/>
  <c r="AC8" i="10"/>
  <c r="AV7" i="10"/>
  <c r="AC7" i="10"/>
  <c r="B10" i="9"/>
  <c r="D10" i="9" s="1"/>
  <c r="B9" i="9"/>
  <c r="E9" i="9" s="1"/>
  <c r="B8" i="9"/>
  <c r="B7" i="9"/>
  <c r="D7" i="9" s="1"/>
  <c r="B6" i="9"/>
  <c r="D6" i="9" s="1"/>
  <c r="AC25" i="8"/>
  <c r="AB25" i="8"/>
  <c r="Z25" i="8"/>
  <c r="R25" i="8"/>
  <c r="H25" i="8"/>
  <c r="G25" i="8"/>
  <c r="F25" i="8"/>
  <c r="E25" i="8"/>
  <c r="D25" i="8"/>
  <c r="C25" i="8"/>
  <c r="B25" i="8"/>
  <c r="AC24" i="8"/>
  <c r="AB24" i="8"/>
  <c r="Z24" i="8"/>
  <c r="R24" i="8"/>
  <c r="H24" i="8"/>
  <c r="G24" i="8"/>
  <c r="F24" i="8"/>
  <c r="E24" i="8"/>
  <c r="D24" i="8"/>
  <c r="C24" i="8"/>
  <c r="B24" i="8"/>
  <c r="AC23" i="8"/>
  <c r="AB23" i="8"/>
  <c r="Z23" i="8"/>
  <c r="R23" i="8"/>
  <c r="H23" i="8"/>
  <c r="G23" i="8"/>
  <c r="F23" i="8"/>
  <c r="E23" i="8"/>
  <c r="D23" i="8"/>
  <c r="C23" i="8"/>
  <c r="B23" i="8"/>
  <c r="AC22" i="8"/>
  <c r="AB22" i="8"/>
  <c r="Z22" i="8"/>
  <c r="R22" i="8"/>
  <c r="H22" i="8"/>
  <c r="G22" i="8"/>
  <c r="F22" i="8"/>
  <c r="E22" i="8"/>
  <c r="D22" i="8"/>
  <c r="C22" i="8"/>
  <c r="B22" i="8"/>
  <c r="AC21" i="8"/>
  <c r="AB21" i="8"/>
  <c r="Z21" i="8"/>
  <c r="R21" i="8"/>
  <c r="H21" i="8"/>
  <c r="G21" i="8"/>
  <c r="F21" i="8"/>
  <c r="E21" i="8"/>
  <c r="D21" i="8"/>
  <c r="C21" i="8"/>
  <c r="B21" i="8"/>
  <c r="N72" i="7"/>
  <c r="M72" i="7"/>
  <c r="L72" i="7"/>
  <c r="K72" i="7"/>
  <c r="G72" i="7"/>
  <c r="F72" i="7"/>
  <c r="E72" i="7"/>
  <c r="D72" i="7"/>
  <c r="C72" i="7"/>
  <c r="B72" i="7"/>
  <c r="N71" i="7"/>
  <c r="M71" i="7"/>
  <c r="L71" i="7"/>
  <c r="K71" i="7"/>
  <c r="G71" i="7"/>
  <c r="F71" i="7"/>
  <c r="E71" i="7"/>
  <c r="D71" i="7"/>
  <c r="C71" i="7"/>
  <c r="B71" i="7"/>
  <c r="N70" i="7"/>
  <c r="M70" i="7"/>
  <c r="L70" i="7"/>
  <c r="K70" i="7"/>
  <c r="G70" i="7"/>
  <c r="F70" i="7"/>
  <c r="E70" i="7"/>
  <c r="D70" i="7"/>
  <c r="C70" i="7"/>
  <c r="B70" i="7"/>
  <c r="N69" i="7"/>
  <c r="M69" i="7"/>
  <c r="L69" i="7"/>
  <c r="K69" i="7"/>
  <c r="G69" i="7"/>
  <c r="F69" i="7"/>
  <c r="E69" i="7"/>
  <c r="D69" i="7"/>
  <c r="C69" i="7"/>
  <c r="B69" i="7"/>
  <c r="N68" i="7"/>
  <c r="M68" i="7"/>
  <c r="L68" i="7"/>
  <c r="K68" i="7"/>
  <c r="G68" i="7"/>
  <c r="F68" i="7"/>
  <c r="E68" i="7"/>
  <c r="D68" i="7"/>
  <c r="C68" i="7"/>
  <c r="B68" i="7"/>
  <c r="N67" i="7"/>
  <c r="M67" i="7"/>
  <c r="L67" i="7"/>
  <c r="K67" i="7"/>
  <c r="G67" i="7"/>
  <c r="F67" i="7"/>
  <c r="E67" i="7"/>
  <c r="D67" i="7"/>
  <c r="C67" i="7"/>
  <c r="B67" i="7"/>
  <c r="N66" i="7"/>
  <c r="M66" i="7"/>
  <c r="L66" i="7"/>
  <c r="K66" i="7"/>
  <c r="G66" i="7"/>
  <c r="F66" i="7"/>
  <c r="E66" i="7"/>
  <c r="D66" i="7"/>
  <c r="C66" i="7"/>
  <c r="B66" i="7"/>
  <c r="N65" i="7"/>
  <c r="M65" i="7"/>
  <c r="L65" i="7"/>
  <c r="K65" i="7"/>
  <c r="G65" i="7"/>
  <c r="F65" i="7"/>
  <c r="E65" i="7"/>
  <c r="D65" i="7"/>
  <c r="C65" i="7"/>
  <c r="B65" i="7"/>
  <c r="N64" i="7"/>
  <c r="M64" i="7"/>
  <c r="L64" i="7"/>
  <c r="K64" i="7"/>
  <c r="G64" i="7"/>
  <c r="F64" i="7"/>
  <c r="E64" i="7"/>
  <c r="D64" i="7"/>
  <c r="C64" i="7"/>
  <c r="B64" i="7"/>
  <c r="N63" i="7"/>
  <c r="M63" i="7"/>
  <c r="L63" i="7"/>
  <c r="K63" i="7"/>
  <c r="G63" i="7"/>
  <c r="F63" i="7"/>
  <c r="E63" i="7"/>
  <c r="D63" i="7"/>
  <c r="C63" i="7"/>
  <c r="B63" i="7"/>
  <c r="N62" i="7"/>
  <c r="M62" i="7"/>
  <c r="L62" i="7"/>
  <c r="K62" i="7"/>
  <c r="G62" i="7"/>
  <c r="F62" i="7"/>
  <c r="E62" i="7"/>
  <c r="D62" i="7"/>
  <c r="C62" i="7"/>
  <c r="B62" i="7"/>
  <c r="N61" i="7"/>
  <c r="M61" i="7"/>
  <c r="L61" i="7"/>
  <c r="K61" i="7"/>
  <c r="G61" i="7"/>
  <c r="F61" i="7"/>
  <c r="E61" i="7"/>
  <c r="D61" i="7"/>
  <c r="C61" i="7"/>
  <c r="B61" i="7"/>
  <c r="N60" i="7"/>
  <c r="M60" i="7"/>
  <c r="L60" i="7"/>
  <c r="K60" i="7"/>
  <c r="G60" i="7"/>
  <c r="F60" i="7"/>
  <c r="E60" i="7"/>
  <c r="D60" i="7"/>
  <c r="C60" i="7"/>
  <c r="B60" i="7"/>
  <c r="N59" i="7"/>
  <c r="M59" i="7"/>
  <c r="L59" i="7"/>
  <c r="K59" i="7"/>
  <c r="G59" i="7"/>
  <c r="F59" i="7"/>
  <c r="E59" i="7"/>
  <c r="D59" i="7"/>
  <c r="C59" i="7"/>
  <c r="B59" i="7"/>
  <c r="N58" i="7"/>
  <c r="M58" i="7"/>
  <c r="L58" i="7"/>
  <c r="K58" i="7"/>
  <c r="G58" i="7"/>
  <c r="F58" i="7"/>
  <c r="E58" i="7"/>
  <c r="D58" i="7"/>
  <c r="C58" i="7"/>
  <c r="B58" i="7"/>
  <c r="N57" i="7"/>
  <c r="M57" i="7"/>
  <c r="L57" i="7"/>
  <c r="K57" i="7"/>
  <c r="G57" i="7"/>
  <c r="F57" i="7"/>
  <c r="E57" i="7"/>
  <c r="D57" i="7"/>
  <c r="C57" i="7"/>
  <c r="B57" i="7"/>
  <c r="N56" i="7"/>
  <c r="M56" i="7"/>
  <c r="L56" i="7"/>
  <c r="K56" i="7"/>
  <c r="G56" i="7"/>
  <c r="F56" i="7"/>
  <c r="E56" i="7"/>
  <c r="D56" i="7"/>
  <c r="C56" i="7"/>
  <c r="B56" i="7"/>
  <c r="N55" i="7"/>
  <c r="M55" i="7"/>
  <c r="L55" i="7"/>
  <c r="K55" i="7"/>
  <c r="G55" i="7"/>
  <c r="F55" i="7"/>
  <c r="E55" i="7"/>
  <c r="D55" i="7"/>
  <c r="C55" i="7"/>
  <c r="B55" i="7"/>
  <c r="N54" i="7"/>
  <c r="M54" i="7"/>
  <c r="L54" i="7"/>
  <c r="K54" i="7"/>
  <c r="G54" i="7"/>
  <c r="F54" i="7"/>
  <c r="E54" i="7"/>
  <c r="D54" i="7"/>
  <c r="C54" i="7"/>
  <c r="B54" i="7"/>
  <c r="N53" i="7"/>
  <c r="M53" i="7"/>
  <c r="L53" i="7"/>
  <c r="K53" i="7"/>
  <c r="G53" i="7"/>
  <c r="F53" i="7"/>
  <c r="E53" i="7"/>
  <c r="D53" i="7"/>
  <c r="C53" i="7"/>
  <c r="B53" i="7"/>
  <c r="N52" i="7"/>
  <c r="M52" i="7"/>
  <c r="L52" i="7"/>
  <c r="K52" i="7"/>
  <c r="G52" i="7"/>
  <c r="F52" i="7"/>
  <c r="E52" i="7"/>
  <c r="D52" i="7"/>
  <c r="C52" i="7"/>
  <c r="B52" i="7"/>
  <c r="N51" i="7"/>
  <c r="M51" i="7"/>
  <c r="L51" i="7"/>
  <c r="K51" i="7"/>
  <c r="G51" i="7"/>
  <c r="F51" i="7"/>
  <c r="E51" i="7"/>
  <c r="D51" i="7"/>
  <c r="C51" i="7"/>
  <c r="B51" i="7"/>
  <c r="N50" i="7"/>
  <c r="M50" i="7"/>
  <c r="L50" i="7"/>
  <c r="K50" i="7"/>
  <c r="G50" i="7"/>
  <c r="F50" i="7"/>
  <c r="E50" i="7"/>
  <c r="D50" i="7"/>
  <c r="C50" i="7"/>
  <c r="B50" i="7"/>
  <c r="N49" i="7"/>
  <c r="M49" i="7"/>
  <c r="L49" i="7"/>
  <c r="K49" i="7"/>
  <c r="G49" i="7"/>
  <c r="F49" i="7"/>
  <c r="E49" i="7"/>
  <c r="D49" i="7"/>
  <c r="C49" i="7"/>
  <c r="B49" i="7"/>
  <c r="N48" i="7"/>
  <c r="M48" i="7"/>
  <c r="L48" i="7"/>
  <c r="K48" i="7"/>
  <c r="G48" i="7"/>
  <c r="F48" i="7"/>
  <c r="E48" i="7"/>
  <c r="D48" i="7"/>
  <c r="C48" i="7"/>
  <c r="B48" i="7"/>
  <c r="N47" i="7"/>
  <c r="M47" i="7"/>
  <c r="L47" i="7"/>
  <c r="K47" i="7"/>
  <c r="G47" i="7"/>
  <c r="F47" i="7"/>
  <c r="E47" i="7"/>
  <c r="D47" i="7"/>
  <c r="C47" i="7"/>
  <c r="B47" i="7"/>
  <c r="N46" i="7"/>
  <c r="M46" i="7"/>
  <c r="L46" i="7"/>
  <c r="K46" i="7"/>
  <c r="G46" i="7"/>
  <c r="F46" i="7"/>
  <c r="E46" i="7"/>
  <c r="D46" i="7"/>
  <c r="C46" i="7"/>
  <c r="B46" i="7"/>
  <c r="N45" i="7"/>
  <c r="M45" i="7"/>
  <c r="L45" i="7"/>
  <c r="K45" i="7"/>
  <c r="G45" i="7"/>
  <c r="F45" i="7"/>
  <c r="E45" i="7"/>
  <c r="D45" i="7"/>
  <c r="C45" i="7"/>
  <c r="B45" i="7"/>
  <c r="N44" i="7"/>
  <c r="M44" i="7"/>
  <c r="L44" i="7"/>
  <c r="K44" i="7"/>
  <c r="G44" i="7"/>
  <c r="F44" i="7"/>
  <c r="E44" i="7"/>
  <c r="D44" i="7"/>
  <c r="C44" i="7"/>
  <c r="B44" i="7"/>
  <c r="N43" i="7"/>
  <c r="M43" i="7"/>
  <c r="L43" i="7"/>
  <c r="K43" i="7"/>
  <c r="G43" i="7"/>
  <c r="F43" i="7"/>
  <c r="E43" i="7"/>
  <c r="D43" i="7"/>
  <c r="C43" i="7"/>
  <c r="B43" i="7"/>
  <c r="N42" i="7"/>
  <c r="M42" i="7"/>
  <c r="L42" i="7"/>
  <c r="K42" i="7"/>
  <c r="G42" i="7"/>
  <c r="F42" i="7"/>
  <c r="E42" i="7"/>
  <c r="D42" i="7"/>
  <c r="C42" i="7"/>
  <c r="B42" i="7"/>
  <c r="N41" i="7"/>
  <c r="M41" i="7"/>
  <c r="L41" i="7"/>
  <c r="K41" i="7"/>
  <c r="G41" i="7"/>
  <c r="F41" i="7"/>
  <c r="E41" i="7"/>
  <c r="D41" i="7"/>
  <c r="C41" i="7"/>
  <c r="B41" i="7"/>
  <c r="N40" i="7"/>
  <c r="M40" i="7"/>
  <c r="L40" i="7"/>
  <c r="K40" i="7"/>
  <c r="G40" i="7"/>
  <c r="F40" i="7"/>
  <c r="E40" i="7"/>
  <c r="D40" i="7"/>
  <c r="C40" i="7"/>
  <c r="B40" i="7"/>
  <c r="N39" i="7"/>
  <c r="M39" i="7"/>
  <c r="L39" i="7"/>
  <c r="K39" i="7"/>
  <c r="G39" i="7"/>
  <c r="F39" i="7"/>
  <c r="E39" i="7"/>
  <c r="D39" i="7"/>
  <c r="C39" i="7"/>
  <c r="B39" i="7"/>
  <c r="N38" i="7"/>
  <c r="M38" i="7"/>
  <c r="L38" i="7"/>
  <c r="K38" i="7"/>
  <c r="G38" i="7"/>
  <c r="F38" i="7"/>
  <c r="E38" i="7"/>
  <c r="D38" i="7"/>
  <c r="C38" i="7"/>
  <c r="B38" i="7"/>
  <c r="N37" i="7"/>
  <c r="M37" i="7"/>
  <c r="L37" i="7"/>
  <c r="K37" i="7"/>
  <c r="G37" i="7"/>
  <c r="F37" i="7"/>
  <c r="E37" i="7"/>
  <c r="D37" i="7"/>
  <c r="C37" i="7"/>
  <c r="B37" i="7"/>
  <c r="N36" i="7"/>
  <c r="M36" i="7"/>
  <c r="L36" i="7"/>
  <c r="K36" i="7"/>
  <c r="G36" i="7"/>
  <c r="F36" i="7"/>
  <c r="E36" i="7"/>
  <c r="D36" i="7"/>
  <c r="C36" i="7"/>
  <c r="B36" i="7"/>
  <c r="N35" i="7"/>
  <c r="M35" i="7"/>
  <c r="L35" i="7"/>
  <c r="K35" i="7"/>
  <c r="G35" i="7"/>
  <c r="F35" i="7"/>
  <c r="E35" i="7"/>
  <c r="D35" i="7"/>
  <c r="C35" i="7"/>
  <c r="B35" i="7"/>
  <c r="N34" i="7"/>
  <c r="M34" i="7"/>
  <c r="L34" i="7"/>
  <c r="K34" i="7"/>
  <c r="G34" i="7"/>
  <c r="F34" i="7"/>
  <c r="E34" i="7"/>
  <c r="D34" i="7"/>
  <c r="C34" i="7"/>
  <c r="B34" i="7"/>
  <c r="N33" i="7"/>
  <c r="M33" i="7"/>
  <c r="L33" i="7"/>
  <c r="K33" i="7"/>
  <c r="G33" i="7"/>
  <c r="F33" i="7"/>
  <c r="E33" i="7"/>
  <c r="D33" i="7"/>
  <c r="C33" i="7"/>
  <c r="B33" i="7"/>
  <c r="N32" i="7"/>
  <c r="M32" i="7"/>
  <c r="L32" i="7"/>
  <c r="K32" i="7"/>
  <c r="G32" i="7"/>
  <c r="F32" i="7"/>
  <c r="E32" i="7"/>
  <c r="D32" i="7"/>
  <c r="C32" i="7"/>
  <c r="B32" i="7"/>
  <c r="N31" i="7"/>
  <c r="M31" i="7"/>
  <c r="L31" i="7"/>
  <c r="K31" i="7"/>
  <c r="G31" i="7"/>
  <c r="F31" i="7"/>
  <c r="E31" i="7"/>
  <c r="D31" i="7"/>
  <c r="C31" i="7"/>
  <c r="B31" i="7"/>
  <c r="N30" i="7"/>
  <c r="M30" i="7"/>
  <c r="L30" i="7"/>
  <c r="K30" i="7"/>
  <c r="G30" i="7"/>
  <c r="F30" i="7"/>
  <c r="E30" i="7"/>
  <c r="D30" i="7"/>
  <c r="C30" i="7"/>
  <c r="B30" i="7"/>
  <c r="N29" i="7"/>
  <c r="M29" i="7"/>
  <c r="L29" i="7"/>
  <c r="K29" i="7"/>
  <c r="G29" i="7"/>
  <c r="F29" i="7"/>
  <c r="E29" i="7"/>
  <c r="D29" i="7"/>
  <c r="C29" i="7"/>
  <c r="B29" i="7"/>
  <c r="N28" i="7"/>
  <c r="M28" i="7"/>
  <c r="L28" i="7"/>
  <c r="K28" i="7"/>
  <c r="G28" i="7"/>
  <c r="F28" i="7"/>
  <c r="E28" i="7"/>
  <c r="D28" i="7"/>
  <c r="C28" i="7"/>
  <c r="B28" i="7"/>
  <c r="N27" i="7"/>
  <c r="M27" i="7"/>
  <c r="L27" i="7"/>
  <c r="K27" i="7"/>
  <c r="G27" i="7"/>
  <c r="F27" i="7"/>
  <c r="E27" i="7"/>
  <c r="D27" i="7"/>
  <c r="C27" i="7"/>
  <c r="B27" i="7"/>
  <c r="N26" i="7"/>
  <c r="M26" i="7"/>
  <c r="L26" i="7"/>
  <c r="K26" i="7"/>
  <c r="G26" i="7"/>
  <c r="F26" i="7"/>
  <c r="E26" i="7"/>
  <c r="D26" i="7"/>
  <c r="C26" i="7"/>
  <c r="B26" i="7"/>
  <c r="N25" i="7"/>
  <c r="M25" i="7"/>
  <c r="L25" i="7"/>
  <c r="K25" i="7"/>
  <c r="G25" i="7"/>
  <c r="F25" i="7"/>
  <c r="E25" i="7"/>
  <c r="D25" i="7"/>
  <c r="C25" i="7"/>
  <c r="B25" i="7"/>
  <c r="N24" i="7"/>
  <c r="M24" i="7"/>
  <c r="L24" i="7"/>
  <c r="K24" i="7"/>
  <c r="G24" i="7"/>
  <c r="F24" i="7"/>
  <c r="E24" i="7"/>
  <c r="D24" i="7"/>
  <c r="C24" i="7"/>
  <c r="B24" i="7"/>
  <c r="N23" i="7"/>
  <c r="M23" i="7"/>
  <c r="L23" i="7"/>
  <c r="K23" i="7"/>
  <c r="G23" i="7"/>
  <c r="F23" i="7"/>
  <c r="E23" i="7"/>
  <c r="D23" i="7"/>
  <c r="C23" i="7"/>
  <c r="B23" i="7"/>
  <c r="N22" i="7"/>
  <c r="M22" i="7"/>
  <c r="L22" i="7"/>
  <c r="K22" i="7"/>
  <c r="G22" i="7"/>
  <c r="F22" i="7"/>
  <c r="E22" i="7"/>
  <c r="D22" i="7"/>
  <c r="C22" i="7"/>
  <c r="B22" i="7"/>
  <c r="N21" i="7"/>
  <c r="M21" i="7"/>
  <c r="L21" i="7"/>
  <c r="K21" i="7"/>
  <c r="G21" i="7"/>
  <c r="F21" i="7"/>
  <c r="E21" i="7"/>
  <c r="D21" i="7"/>
  <c r="C21" i="7"/>
  <c r="B21" i="7"/>
  <c r="N20" i="7"/>
  <c r="M20" i="7"/>
  <c r="L20" i="7"/>
  <c r="K20" i="7"/>
  <c r="G20" i="7"/>
  <c r="F20" i="7"/>
  <c r="E20" i="7"/>
  <c r="D20" i="7"/>
  <c r="C20" i="7"/>
  <c r="B20" i="7"/>
  <c r="N19" i="7"/>
  <c r="M19" i="7"/>
  <c r="L19" i="7"/>
  <c r="K19" i="7"/>
  <c r="G19" i="7"/>
  <c r="F19" i="7"/>
  <c r="E19" i="7"/>
  <c r="D19" i="7"/>
  <c r="C19" i="7"/>
  <c r="B19" i="7"/>
  <c r="N18" i="7"/>
  <c r="M18" i="7"/>
  <c r="L18" i="7"/>
  <c r="K18" i="7"/>
  <c r="G18" i="7"/>
  <c r="F18" i="7"/>
  <c r="E18" i="7"/>
  <c r="D18" i="7"/>
  <c r="C18" i="7"/>
  <c r="B18" i="7"/>
  <c r="N17" i="7"/>
  <c r="M17" i="7"/>
  <c r="L17" i="7"/>
  <c r="K17" i="7"/>
  <c r="G17" i="7"/>
  <c r="F17" i="7"/>
  <c r="E17" i="7"/>
  <c r="D17" i="7"/>
  <c r="C17" i="7"/>
  <c r="B17" i="7"/>
  <c r="N16" i="7"/>
  <c r="M16" i="7"/>
  <c r="L16" i="7"/>
  <c r="K16" i="7"/>
  <c r="G16" i="7"/>
  <c r="F16" i="7"/>
  <c r="E16" i="7"/>
  <c r="D16" i="7"/>
  <c r="C16" i="7"/>
  <c r="B16" i="7"/>
  <c r="N15" i="7"/>
  <c r="M15" i="7"/>
  <c r="L15" i="7"/>
  <c r="K15" i="7"/>
  <c r="G15" i="7"/>
  <c r="F15" i="7"/>
  <c r="E15" i="7"/>
  <c r="D15" i="7"/>
  <c r="C15" i="7"/>
  <c r="B15" i="7"/>
  <c r="N14" i="7"/>
  <c r="M14" i="7"/>
  <c r="L14" i="7"/>
  <c r="K14" i="7"/>
  <c r="G14" i="7"/>
  <c r="F14" i="7"/>
  <c r="E14" i="7"/>
  <c r="D14" i="7"/>
  <c r="C14" i="7"/>
  <c r="B14" i="7"/>
  <c r="N13" i="7"/>
  <c r="M13" i="7"/>
  <c r="L13" i="7"/>
  <c r="K13" i="7"/>
  <c r="G13" i="7"/>
  <c r="F13" i="7"/>
  <c r="E13" i="7"/>
  <c r="D13" i="7"/>
  <c r="C13" i="7"/>
  <c r="B13" i="7"/>
  <c r="E172" i="6"/>
  <c r="E171" i="6"/>
  <c r="E170" i="6"/>
  <c r="E169" i="6"/>
  <c r="E168" i="6"/>
  <c r="E167" i="6"/>
  <c r="E166" i="6"/>
  <c r="E165" i="6"/>
  <c r="E164" i="6"/>
  <c r="E163" i="6"/>
  <c r="E162" i="6"/>
  <c r="E161" i="6"/>
  <c r="E160" i="6"/>
  <c r="E159" i="6"/>
  <c r="E158" i="6"/>
  <c r="E157" i="6"/>
  <c r="E156" i="6"/>
  <c r="E155" i="6"/>
  <c r="E154" i="6"/>
  <c r="E153" i="6"/>
  <c r="E152" i="6"/>
  <c r="E151" i="6"/>
  <c r="E150" i="6"/>
  <c r="E149" i="6"/>
  <c r="E148" i="6"/>
  <c r="E147" i="6"/>
  <c r="E146" i="6"/>
  <c r="E145" i="6"/>
  <c r="E144" i="6"/>
  <c r="E143" i="6"/>
  <c r="E142" i="6"/>
  <c r="E141" i="6"/>
  <c r="E140" i="6"/>
  <c r="E100" i="6"/>
  <c r="E99" i="6"/>
  <c r="E98" i="6"/>
  <c r="E97" i="6"/>
  <c r="E96" i="6"/>
  <c r="E95" i="6"/>
  <c r="E94" i="6"/>
  <c r="E93" i="6"/>
  <c r="E92" i="6"/>
  <c r="E91" i="6"/>
  <c r="E90" i="6"/>
  <c r="E89" i="6"/>
  <c r="E88" i="6"/>
  <c r="E87" i="6"/>
  <c r="E86" i="6"/>
  <c r="E85" i="6"/>
  <c r="E84" i="6"/>
  <c r="E83" i="6"/>
  <c r="E82" i="6"/>
  <c r="E81" i="6"/>
  <c r="E80" i="6"/>
  <c r="E79" i="6"/>
  <c r="E78" i="6"/>
  <c r="E77" i="6"/>
  <c r="E76" i="6"/>
  <c r="E75" i="6"/>
  <c r="E74" i="6"/>
  <c r="E73" i="6"/>
  <c r="E72" i="6"/>
  <c r="E71" i="6"/>
  <c r="E70" i="6"/>
  <c r="E69" i="6"/>
  <c r="E68" i="6"/>
  <c r="L58" i="6"/>
  <c r="L57" i="6"/>
  <c r="F77" i="6" s="1"/>
  <c r="L56" i="6"/>
  <c r="F98" i="6" s="1"/>
  <c r="L55" i="6"/>
  <c r="F97" i="6" s="1"/>
  <c r="L54" i="6"/>
  <c r="F96" i="6" s="1"/>
  <c r="L53" i="6"/>
  <c r="L52" i="6"/>
  <c r="F83" i="6" s="1"/>
  <c r="L51" i="6"/>
  <c r="L50" i="6"/>
  <c r="F81" i="6" s="1"/>
  <c r="L49" i="6"/>
  <c r="F69" i="6" s="1"/>
  <c r="L48" i="6"/>
  <c r="F79" i="6" s="1"/>
  <c r="E44" i="6"/>
  <c r="G44" i="6" s="1"/>
  <c r="H44" i="6" s="1"/>
  <c r="E43" i="6"/>
  <c r="G43" i="6" s="1"/>
  <c r="H43" i="6" s="1"/>
  <c r="E42" i="6"/>
  <c r="G42" i="6" s="1"/>
  <c r="H42" i="6" s="1"/>
  <c r="E41" i="6"/>
  <c r="G41" i="6" s="1"/>
  <c r="H41" i="6" s="1"/>
  <c r="E40" i="6"/>
  <c r="G40" i="6" s="1"/>
  <c r="H40" i="6" s="1"/>
  <c r="E39" i="6"/>
  <c r="G39" i="6" s="1"/>
  <c r="H39" i="6" s="1"/>
  <c r="E38" i="6"/>
  <c r="G38" i="6" s="1"/>
  <c r="H38" i="6" s="1"/>
  <c r="E37" i="6"/>
  <c r="G37" i="6" s="1"/>
  <c r="H37" i="6" s="1"/>
  <c r="E36" i="6"/>
  <c r="G36" i="6" s="1"/>
  <c r="H36" i="6" s="1"/>
  <c r="E35" i="6"/>
  <c r="G35" i="6" s="1"/>
  <c r="H35" i="6" s="1"/>
  <c r="E34" i="6"/>
  <c r="G34" i="6" s="1"/>
  <c r="H34" i="6" s="1"/>
  <c r="B30" i="6"/>
  <c r="Y17" i="10" s="1"/>
  <c r="B29" i="6"/>
  <c r="B28" i="6"/>
  <c r="B27" i="6"/>
  <c r="B55" i="6" s="1"/>
  <c r="C86" i="6" s="1"/>
  <c r="B26" i="6"/>
  <c r="B25" i="6"/>
  <c r="B24" i="6"/>
  <c r="B23" i="6"/>
  <c r="B22" i="6"/>
  <c r="Y9" i="10" s="1"/>
  <c r="B21" i="6"/>
  <c r="B20" i="6"/>
  <c r="E65" i="4"/>
  <c r="D65" i="4"/>
  <c r="C65" i="4"/>
  <c r="B65" i="4"/>
  <c r="E64" i="4"/>
  <c r="D64" i="4"/>
  <c r="C64" i="4"/>
  <c r="B64" i="4"/>
  <c r="E63" i="4"/>
  <c r="D63" i="4"/>
  <c r="C63" i="4"/>
  <c r="B63" i="4"/>
  <c r="E62" i="4"/>
  <c r="D62" i="4"/>
  <c r="C62" i="4"/>
  <c r="B62" i="4"/>
  <c r="E61" i="4"/>
  <c r="D61" i="4"/>
  <c r="C61" i="4"/>
  <c r="B61" i="4"/>
  <c r="E60" i="4"/>
  <c r="D60" i="4"/>
  <c r="C60" i="4"/>
  <c r="B60" i="4"/>
  <c r="E59" i="4"/>
  <c r="D59" i="4"/>
  <c r="C59" i="4"/>
  <c r="B59" i="4"/>
  <c r="E58" i="4"/>
  <c r="D58" i="4"/>
  <c r="C58" i="4"/>
  <c r="B58" i="4"/>
  <c r="E57" i="4"/>
  <c r="D57" i="4"/>
  <c r="C57" i="4"/>
  <c r="B57" i="4"/>
  <c r="E56" i="4"/>
  <c r="D56" i="4"/>
  <c r="C56" i="4"/>
  <c r="B56" i="4"/>
  <c r="E55" i="4"/>
  <c r="D55" i="4"/>
  <c r="C55" i="4"/>
  <c r="B55" i="4"/>
  <c r="E54" i="4"/>
  <c r="D54" i="4"/>
  <c r="C54" i="4"/>
  <c r="B54" i="4"/>
  <c r="E53" i="4"/>
  <c r="D53" i="4"/>
  <c r="C53" i="4"/>
  <c r="B53" i="4"/>
  <c r="E52" i="4"/>
  <c r="D52" i="4"/>
  <c r="C52" i="4"/>
  <c r="B52" i="4"/>
  <c r="E51" i="4"/>
  <c r="D51" i="4"/>
  <c r="C51" i="4"/>
  <c r="B51" i="4"/>
  <c r="E50" i="4"/>
  <c r="D50" i="4"/>
  <c r="C50" i="4"/>
  <c r="B50" i="4"/>
  <c r="E49" i="4"/>
  <c r="D49" i="4"/>
  <c r="C49" i="4"/>
  <c r="B49" i="4"/>
  <c r="E48" i="4"/>
  <c r="D48" i="4"/>
  <c r="C48" i="4"/>
  <c r="B48" i="4"/>
  <c r="E47" i="4"/>
  <c r="D47" i="4"/>
  <c r="C47" i="4"/>
  <c r="B47" i="4"/>
  <c r="E46" i="4"/>
  <c r="D46" i="4"/>
  <c r="C46" i="4"/>
  <c r="B46" i="4"/>
  <c r="E45" i="4"/>
  <c r="D45" i="4"/>
  <c r="C45" i="4"/>
  <c r="B45" i="4"/>
  <c r="E44" i="4"/>
  <c r="D44" i="4"/>
  <c r="C44" i="4"/>
  <c r="B44" i="4"/>
  <c r="E43" i="4"/>
  <c r="D43" i="4"/>
  <c r="C43" i="4"/>
  <c r="B43" i="4"/>
  <c r="E42" i="4"/>
  <c r="D42" i="4"/>
  <c r="C42" i="4"/>
  <c r="B42" i="4"/>
  <c r="E41" i="4"/>
  <c r="D41" i="4"/>
  <c r="C41" i="4"/>
  <c r="B41" i="4"/>
  <c r="E40" i="4"/>
  <c r="D40" i="4"/>
  <c r="C40" i="4"/>
  <c r="B40" i="4"/>
  <c r="E39" i="4"/>
  <c r="D39" i="4"/>
  <c r="C39" i="4"/>
  <c r="B39" i="4"/>
  <c r="E38" i="4"/>
  <c r="D38" i="4"/>
  <c r="C38" i="4"/>
  <c r="B38" i="4"/>
  <c r="E37" i="4"/>
  <c r="D37" i="4"/>
  <c r="C37" i="4"/>
  <c r="B37" i="4"/>
  <c r="E36" i="4"/>
  <c r="D36" i="4"/>
  <c r="C36" i="4"/>
  <c r="B36" i="4"/>
  <c r="E35" i="4"/>
  <c r="D35" i="4"/>
  <c r="C35" i="4"/>
  <c r="B35" i="4"/>
  <c r="E34" i="4"/>
  <c r="D34" i="4"/>
  <c r="C34" i="4"/>
  <c r="B34" i="4"/>
  <c r="E33" i="4"/>
  <c r="D33" i="4"/>
  <c r="C33" i="4"/>
  <c r="B33" i="4"/>
  <c r="E32" i="4"/>
  <c r="D32" i="4"/>
  <c r="C32" i="4"/>
  <c r="B32" i="4"/>
  <c r="E31" i="4"/>
  <c r="D31" i="4"/>
  <c r="C31" i="4"/>
  <c r="B31" i="4"/>
  <c r="E30" i="4"/>
  <c r="D30" i="4"/>
  <c r="C30" i="4"/>
  <c r="B30" i="4"/>
  <c r="E29" i="4"/>
  <c r="D29" i="4"/>
  <c r="C29" i="4"/>
  <c r="B29" i="4"/>
  <c r="E28" i="4"/>
  <c r="D28" i="4"/>
  <c r="C28" i="4"/>
  <c r="B28" i="4"/>
  <c r="E27" i="4"/>
  <c r="D27" i="4"/>
  <c r="C27" i="4"/>
  <c r="B27" i="4"/>
  <c r="E26" i="4"/>
  <c r="D26" i="4"/>
  <c r="C26" i="4"/>
  <c r="B26" i="4"/>
  <c r="E25" i="4"/>
  <c r="D25" i="4"/>
  <c r="C25" i="4"/>
  <c r="B25" i="4"/>
  <c r="E24" i="4"/>
  <c r="D24" i="4"/>
  <c r="C24" i="4"/>
  <c r="B24" i="4"/>
  <c r="E23" i="4"/>
  <c r="D23" i="4"/>
  <c r="C23" i="4"/>
  <c r="B23" i="4"/>
  <c r="E22" i="4"/>
  <c r="D22" i="4"/>
  <c r="C22" i="4"/>
  <c r="B22" i="4"/>
  <c r="E21" i="4"/>
  <c r="D21" i="4"/>
  <c r="C21" i="4"/>
  <c r="B21" i="4"/>
  <c r="E20" i="4"/>
  <c r="D20" i="4"/>
  <c r="C20" i="4"/>
  <c r="B20" i="4"/>
  <c r="E19" i="4"/>
  <c r="D19" i="4"/>
  <c r="C19" i="4"/>
  <c r="B19" i="4"/>
  <c r="E18" i="4"/>
  <c r="D18" i="4"/>
  <c r="C18" i="4"/>
  <c r="B18" i="4"/>
  <c r="E17" i="4"/>
  <c r="D17" i="4"/>
  <c r="C17" i="4"/>
  <c r="B17" i="4"/>
  <c r="E16" i="4"/>
  <c r="D16" i="4"/>
  <c r="C16" i="4"/>
  <c r="B16" i="4"/>
  <c r="E15" i="4"/>
  <c r="D15" i="4"/>
  <c r="AJ16" i="10" s="1"/>
  <c r="C15" i="4"/>
  <c r="AH16" i="10" s="1"/>
  <c r="B15" i="4"/>
  <c r="E14" i="4"/>
  <c r="D14" i="4"/>
  <c r="C14" i="4"/>
  <c r="AH15" i="10" s="1"/>
  <c r="B14" i="4"/>
  <c r="E13" i="4"/>
  <c r="D13" i="4"/>
  <c r="AJ14" i="10" s="1"/>
  <c r="C13" i="4"/>
  <c r="AH14" i="10" s="1"/>
  <c r="B13" i="4"/>
  <c r="E12" i="4"/>
  <c r="D12" i="4"/>
  <c r="AJ13" i="10" s="1"/>
  <c r="C12" i="4"/>
  <c r="AH13" i="10" s="1"/>
  <c r="B12" i="4"/>
  <c r="E11" i="4"/>
  <c r="D11" i="4"/>
  <c r="AJ12" i="10" s="1"/>
  <c r="C11" i="4"/>
  <c r="AH12" i="10" s="1"/>
  <c r="B11" i="4"/>
  <c r="E10" i="4"/>
  <c r="D10" i="4"/>
  <c r="AJ11" i="10" s="1"/>
  <c r="C10" i="4"/>
  <c r="AH11" i="10" s="1"/>
  <c r="B10" i="4"/>
  <c r="E9" i="4"/>
  <c r="D9" i="4"/>
  <c r="AJ10" i="10" s="1"/>
  <c r="C9" i="4"/>
  <c r="AH10" i="10" s="1"/>
  <c r="B9" i="4"/>
  <c r="E8" i="4"/>
  <c r="D8" i="4"/>
  <c r="AJ9" i="10" s="1"/>
  <c r="C8" i="4"/>
  <c r="AH9" i="10" s="1"/>
  <c r="B8" i="4"/>
  <c r="E7" i="4"/>
  <c r="D7" i="4"/>
  <c r="AJ8" i="10" s="1"/>
  <c r="C7" i="4"/>
  <c r="AH8" i="10" s="1"/>
  <c r="B7" i="4"/>
  <c r="E6" i="4"/>
  <c r="D6" i="4"/>
  <c r="C6" i="4"/>
  <c r="AH7" i="10" s="1"/>
  <c r="B6" i="4"/>
  <c r="H65" i="3"/>
  <c r="G65" i="3"/>
  <c r="F65" i="3"/>
  <c r="E65" i="3"/>
  <c r="D65" i="3"/>
  <c r="C65" i="3"/>
  <c r="B65" i="3"/>
  <c r="H64" i="3"/>
  <c r="G64" i="3"/>
  <c r="F64" i="3"/>
  <c r="E64" i="3"/>
  <c r="D64" i="3"/>
  <c r="C64" i="3"/>
  <c r="B64" i="3"/>
  <c r="H63" i="3"/>
  <c r="G63" i="3"/>
  <c r="F63" i="3"/>
  <c r="E63" i="3"/>
  <c r="D63" i="3"/>
  <c r="C63" i="3"/>
  <c r="B63" i="3"/>
  <c r="H62" i="3"/>
  <c r="G62" i="3"/>
  <c r="F62" i="3"/>
  <c r="E62" i="3"/>
  <c r="D62" i="3"/>
  <c r="C62" i="3"/>
  <c r="B62" i="3"/>
  <c r="H61" i="3"/>
  <c r="G61" i="3"/>
  <c r="F61" i="3"/>
  <c r="E61" i="3"/>
  <c r="D61" i="3"/>
  <c r="C61" i="3"/>
  <c r="B61" i="3"/>
  <c r="H60" i="3"/>
  <c r="G60" i="3"/>
  <c r="F60" i="3"/>
  <c r="E60" i="3"/>
  <c r="D60" i="3"/>
  <c r="C60" i="3"/>
  <c r="B60" i="3"/>
  <c r="H59" i="3"/>
  <c r="G59" i="3"/>
  <c r="F59" i="3"/>
  <c r="E59" i="3"/>
  <c r="D59" i="3"/>
  <c r="C59" i="3"/>
  <c r="B59" i="3"/>
  <c r="H58" i="3"/>
  <c r="G58" i="3"/>
  <c r="F58" i="3"/>
  <c r="E58" i="3"/>
  <c r="D58" i="3"/>
  <c r="C58" i="3"/>
  <c r="B58" i="3"/>
  <c r="H57" i="3"/>
  <c r="G57" i="3"/>
  <c r="F57" i="3"/>
  <c r="E57" i="3"/>
  <c r="D57" i="3"/>
  <c r="C57" i="3"/>
  <c r="B57" i="3"/>
  <c r="H56" i="3"/>
  <c r="G56" i="3"/>
  <c r="F56" i="3"/>
  <c r="E56" i="3"/>
  <c r="D56" i="3"/>
  <c r="C56" i="3"/>
  <c r="B56" i="3"/>
  <c r="H55" i="3"/>
  <c r="G55" i="3"/>
  <c r="F55" i="3"/>
  <c r="E55" i="3"/>
  <c r="D55" i="3"/>
  <c r="C55" i="3"/>
  <c r="B55" i="3"/>
  <c r="H54" i="3"/>
  <c r="G54" i="3"/>
  <c r="F54" i="3"/>
  <c r="E54" i="3"/>
  <c r="D54" i="3"/>
  <c r="C54" i="3"/>
  <c r="B54" i="3"/>
  <c r="H53" i="3"/>
  <c r="G53" i="3"/>
  <c r="F53" i="3"/>
  <c r="E53" i="3"/>
  <c r="D53" i="3"/>
  <c r="C53" i="3"/>
  <c r="B53" i="3"/>
  <c r="H52" i="3"/>
  <c r="G52" i="3"/>
  <c r="F52" i="3"/>
  <c r="E52" i="3"/>
  <c r="D52" i="3"/>
  <c r="C52" i="3"/>
  <c r="B52" i="3"/>
  <c r="H51" i="3"/>
  <c r="G51" i="3"/>
  <c r="F51" i="3"/>
  <c r="E51" i="3"/>
  <c r="D51" i="3"/>
  <c r="C51" i="3"/>
  <c r="B51" i="3"/>
  <c r="H50" i="3"/>
  <c r="G50" i="3"/>
  <c r="F50" i="3"/>
  <c r="E50" i="3"/>
  <c r="D50" i="3"/>
  <c r="C50" i="3"/>
  <c r="B50" i="3"/>
  <c r="H49" i="3"/>
  <c r="G49" i="3"/>
  <c r="F49" i="3"/>
  <c r="E49" i="3"/>
  <c r="D49" i="3"/>
  <c r="C49" i="3"/>
  <c r="B49" i="3"/>
  <c r="H48" i="3"/>
  <c r="G48" i="3"/>
  <c r="F48" i="3"/>
  <c r="E48" i="3"/>
  <c r="D48" i="3"/>
  <c r="C48" i="3"/>
  <c r="B48" i="3"/>
  <c r="H47" i="3"/>
  <c r="G47" i="3"/>
  <c r="F47" i="3"/>
  <c r="E47" i="3"/>
  <c r="D47" i="3"/>
  <c r="C47" i="3"/>
  <c r="B47" i="3"/>
  <c r="H46" i="3"/>
  <c r="G46" i="3"/>
  <c r="F46" i="3"/>
  <c r="E46" i="3"/>
  <c r="D46" i="3"/>
  <c r="C46" i="3"/>
  <c r="B46" i="3"/>
  <c r="H45" i="3"/>
  <c r="G45" i="3"/>
  <c r="F45" i="3"/>
  <c r="E45" i="3"/>
  <c r="D45" i="3"/>
  <c r="C45" i="3"/>
  <c r="B45" i="3"/>
  <c r="H44" i="3"/>
  <c r="G44" i="3"/>
  <c r="F44" i="3"/>
  <c r="E44" i="3"/>
  <c r="D44" i="3"/>
  <c r="C44" i="3"/>
  <c r="B44" i="3"/>
  <c r="H43" i="3"/>
  <c r="G43" i="3"/>
  <c r="F43" i="3"/>
  <c r="E43" i="3"/>
  <c r="D43" i="3"/>
  <c r="C43" i="3"/>
  <c r="B43" i="3"/>
  <c r="H42" i="3"/>
  <c r="G42" i="3"/>
  <c r="F42" i="3"/>
  <c r="E42" i="3"/>
  <c r="D42" i="3"/>
  <c r="C42" i="3"/>
  <c r="B42" i="3"/>
  <c r="H41" i="3"/>
  <c r="G41" i="3"/>
  <c r="F41" i="3"/>
  <c r="E41" i="3"/>
  <c r="D41" i="3"/>
  <c r="C41" i="3"/>
  <c r="B41" i="3"/>
  <c r="H40" i="3"/>
  <c r="G40" i="3"/>
  <c r="F40" i="3"/>
  <c r="E40" i="3"/>
  <c r="D40" i="3"/>
  <c r="C40" i="3"/>
  <c r="B40" i="3"/>
  <c r="H39" i="3"/>
  <c r="G39" i="3"/>
  <c r="F39" i="3"/>
  <c r="E39" i="3"/>
  <c r="D39" i="3"/>
  <c r="C39" i="3"/>
  <c r="B39" i="3"/>
  <c r="H38" i="3"/>
  <c r="G38" i="3"/>
  <c r="F38" i="3"/>
  <c r="E38" i="3"/>
  <c r="D38" i="3"/>
  <c r="C38" i="3"/>
  <c r="B38" i="3"/>
  <c r="H37" i="3"/>
  <c r="G37" i="3"/>
  <c r="F37" i="3"/>
  <c r="E37" i="3"/>
  <c r="D37" i="3"/>
  <c r="C37" i="3"/>
  <c r="B37" i="3"/>
  <c r="H36" i="3"/>
  <c r="G36" i="3"/>
  <c r="F36" i="3"/>
  <c r="E36" i="3"/>
  <c r="D36" i="3"/>
  <c r="C36" i="3"/>
  <c r="B36" i="3"/>
  <c r="H35" i="3"/>
  <c r="G35" i="3"/>
  <c r="F35" i="3"/>
  <c r="E35" i="3"/>
  <c r="D35" i="3"/>
  <c r="C35" i="3"/>
  <c r="B35" i="3"/>
  <c r="H34" i="3"/>
  <c r="G34" i="3"/>
  <c r="F34" i="3"/>
  <c r="E34" i="3"/>
  <c r="D34" i="3"/>
  <c r="C34" i="3"/>
  <c r="B34" i="3"/>
  <c r="H33" i="3"/>
  <c r="G33" i="3"/>
  <c r="F33" i="3"/>
  <c r="E33" i="3"/>
  <c r="D33" i="3"/>
  <c r="C33" i="3"/>
  <c r="B33" i="3"/>
  <c r="H32" i="3"/>
  <c r="G32" i="3"/>
  <c r="F32" i="3"/>
  <c r="E32" i="3"/>
  <c r="D32" i="3"/>
  <c r="C32" i="3"/>
  <c r="B32" i="3"/>
  <c r="H31" i="3"/>
  <c r="G31" i="3"/>
  <c r="F31" i="3"/>
  <c r="E31" i="3"/>
  <c r="D31" i="3"/>
  <c r="C31" i="3"/>
  <c r="B31" i="3"/>
  <c r="H30" i="3"/>
  <c r="G30" i="3"/>
  <c r="F30" i="3"/>
  <c r="E30" i="3"/>
  <c r="D30" i="3"/>
  <c r="C30" i="3"/>
  <c r="B30" i="3"/>
  <c r="H29" i="3"/>
  <c r="G29" i="3"/>
  <c r="F29" i="3"/>
  <c r="E29" i="3"/>
  <c r="D29" i="3"/>
  <c r="C29" i="3"/>
  <c r="B29" i="3"/>
  <c r="H28" i="3"/>
  <c r="G28" i="3"/>
  <c r="F28" i="3"/>
  <c r="E28" i="3"/>
  <c r="D28" i="3"/>
  <c r="C28" i="3"/>
  <c r="B28" i="3"/>
  <c r="H27" i="3"/>
  <c r="G27" i="3"/>
  <c r="F27" i="3"/>
  <c r="E27" i="3"/>
  <c r="D27" i="3"/>
  <c r="C27" i="3"/>
  <c r="B27" i="3"/>
  <c r="H26" i="3"/>
  <c r="G26" i="3"/>
  <c r="F26" i="3"/>
  <c r="E26" i="3"/>
  <c r="D26" i="3"/>
  <c r="C26" i="3"/>
  <c r="B26" i="3"/>
  <c r="H25" i="3"/>
  <c r="G25" i="3"/>
  <c r="F25" i="3"/>
  <c r="E25" i="3"/>
  <c r="D25" i="3"/>
  <c r="C25" i="3"/>
  <c r="B25" i="3"/>
  <c r="H24" i="3"/>
  <c r="G24" i="3"/>
  <c r="F24" i="3"/>
  <c r="E24" i="3"/>
  <c r="D24" i="3"/>
  <c r="C24" i="3"/>
  <c r="B24" i="3"/>
  <c r="H23" i="3"/>
  <c r="G23" i="3"/>
  <c r="F23" i="3"/>
  <c r="E23" i="3"/>
  <c r="D23" i="3"/>
  <c r="C23" i="3"/>
  <c r="B23" i="3"/>
  <c r="H22" i="3"/>
  <c r="G22" i="3"/>
  <c r="F22" i="3"/>
  <c r="E22" i="3"/>
  <c r="D22" i="3"/>
  <c r="C22" i="3"/>
  <c r="B22" i="3"/>
  <c r="H21" i="3"/>
  <c r="G21" i="3"/>
  <c r="F21" i="3"/>
  <c r="E21" i="3"/>
  <c r="D21" i="3"/>
  <c r="C21" i="3"/>
  <c r="B21" i="3"/>
  <c r="H20" i="3"/>
  <c r="G20" i="3"/>
  <c r="F20" i="3"/>
  <c r="E20" i="3"/>
  <c r="D20" i="3"/>
  <c r="C20" i="3"/>
  <c r="B20" i="3"/>
  <c r="H19" i="3"/>
  <c r="G19" i="3"/>
  <c r="F19" i="3"/>
  <c r="E19" i="3"/>
  <c r="D19" i="3"/>
  <c r="C19" i="3"/>
  <c r="B19" i="3"/>
  <c r="H18" i="3"/>
  <c r="G18" i="3"/>
  <c r="F18" i="3"/>
  <c r="E18" i="3"/>
  <c r="D18" i="3"/>
  <c r="C18" i="3"/>
  <c r="B18" i="3"/>
  <c r="H17" i="3"/>
  <c r="G17" i="3"/>
  <c r="F17" i="3"/>
  <c r="E17" i="3"/>
  <c r="D17" i="3"/>
  <c r="C17" i="3"/>
  <c r="B17" i="3"/>
  <c r="H16" i="3"/>
  <c r="G16" i="3"/>
  <c r="F16" i="3"/>
  <c r="E16" i="3"/>
  <c r="D16" i="3"/>
  <c r="C16" i="3"/>
  <c r="B16" i="3"/>
  <c r="H15" i="3"/>
  <c r="G15" i="3"/>
  <c r="F15" i="3"/>
  <c r="E15" i="3"/>
  <c r="D15" i="3"/>
  <c r="C15" i="3"/>
  <c r="B15" i="3"/>
  <c r="H14" i="3"/>
  <c r="G14" i="3"/>
  <c r="F14" i="3"/>
  <c r="E14" i="3"/>
  <c r="D14" i="3"/>
  <c r="C14" i="3"/>
  <c r="B14" i="3"/>
  <c r="H13" i="3"/>
  <c r="G13" i="3"/>
  <c r="F13" i="3"/>
  <c r="E13" i="3"/>
  <c r="D13" i="3"/>
  <c r="C13" i="3"/>
  <c r="B13" i="3"/>
  <c r="H12" i="3"/>
  <c r="G12" i="3"/>
  <c r="F12" i="3"/>
  <c r="E12" i="3"/>
  <c r="D12" i="3"/>
  <c r="C12" i="3"/>
  <c r="B12" i="3"/>
  <c r="H11" i="3"/>
  <c r="G11" i="3"/>
  <c r="F11" i="3"/>
  <c r="E11" i="3"/>
  <c r="D11" i="3"/>
  <c r="C11" i="3"/>
  <c r="B11" i="3"/>
  <c r="H10" i="3"/>
  <c r="G10" i="3"/>
  <c r="F10" i="3"/>
  <c r="E10" i="3"/>
  <c r="D10" i="3"/>
  <c r="C10" i="3"/>
  <c r="B10" i="3"/>
  <c r="H9" i="3"/>
  <c r="G9" i="3"/>
  <c r="F9" i="3"/>
  <c r="E9" i="3"/>
  <c r="D9" i="3"/>
  <c r="C9" i="3"/>
  <c r="B9" i="3"/>
  <c r="H8" i="3"/>
  <c r="G8" i="3"/>
  <c r="F8" i="3"/>
  <c r="E8" i="3"/>
  <c r="D8" i="3"/>
  <c r="C8" i="3"/>
  <c r="B8" i="3"/>
  <c r="H7" i="3"/>
  <c r="G7" i="3"/>
  <c r="F7" i="3"/>
  <c r="E7" i="3"/>
  <c r="D7" i="3"/>
  <c r="C7" i="3"/>
  <c r="B7" i="3"/>
  <c r="H6" i="3"/>
  <c r="G6" i="3"/>
  <c r="F6" i="3"/>
  <c r="E6" i="3"/>
  <c r="D6" i="3"/>
  <c r="C6" i="3"/>
  <c r="B6" i="3"/>
  <c r="N65" i="2"/>
  <c r="L65" i="2"/>
  <c r="P65" i="2" s="1"/>
  <c r="N64" i="2"/>
  <c r="L64" i="2"/>
  <c r="P64" i="2" s="1"/>
  <c r="N63" i="2"/>
  <c r="L63" i="2"/>
  <c r="P63" i="2" s="1"/>
  <c r="N62" i="2"/>
  <c r="L62" i="2"/>
  <c r="P62" i="2" s="1"/>
  <c r="N61" i="2"/>
  <c r="L61" i="2"/>
  <c r="P61" i="2" s="1"/>
  <c r="N60" i="2"/>
  <c r="L60" i="2"/>
  <c r="P60" i="2" s="1"/>
  <c r="N59" i="2"/>
  <c r="L59" i="2"/>
  <c r="P59" i="2" s="1"/>
  <c r="N58" i="2"/>
  <c r="L58" i="2"/>
  <c r="P58" i="2" s="1"/>
  <c r="N57" i="2"/>
  <c r="L57" i="2"/>
  <c r="P57" i="2" s="1"/>
  <c r="N56" i="2"/>
  <c r="L56" i="2"/>
  <c r="P56" i="2" s="1"/>
  <c r="N55" i="2"/>
  <c r="L55" i="2"/>
  <c r="P55" i="2" s="1"/>
  <c r="N54" i="2"/>
  <c r="L54" i="2"/>
  <c r="P54" i="2" s="1"/>
  <c r="N53" i="2"/>
  <c r="L53" i="2"/>
  <c r="P53" i="2" s="1"/>
  <c r="N52" i="2"/>
  <c r="L52" i="2"/>
  <c r="P52" i="2" s="1"/>
  <c r="N51" i="2"/>
  <c r="L51" i="2"/>
  <c r="P51" i="2" s="1"/>
  <c r="N50" i="2"/>
  <c r="L50" i="2"/>
  <c r="P50" i="2" s="1"/>
  <c r="N49" i="2"/>
  <c r="L49" i="2"/>
  <c r="P49" i="2" s="1"/>
  <c r="N48" i="2"/>
  <c r="L48" i="2"/>
  <c r="P48" i="2" s="1"/>
  <c r="N47" i="2"/>
  <c r="L47" i="2"/>
  <c r="P47" i="2" s="1"/>
  <c r="N46" i="2"/>
  <c r="L46" i="2"/>
  <c r="P46" i="2" s="1"/>
  <c r="N45" i="2"/>
  <c r="L45" i="2"/>
  <c r="P45" i="2" s="1"/>
  <c r="N44" i="2"/>
  <c r="L44" i="2"/>
  <c r="P44" i="2" s="1"/>
  <c r="N43" i="2"/>
  <c r="L43" i="2"/>
  <c r="P43" i="2" s="1"/>
  <c r="N42" i="2"/>
  <c r="L42" i="2"/>
  <c r="P42" i="2" s="1"/>
  <c r="N41" i="2"/>
  <c r="L41" i="2"/>
  <c r="P41" i="2" s="1"/>
  <c r="N40" i="2"/>
  <c r="L40" i="2"/>
  <c r="P40" i="2" s="1"/>
  <c r="N39" i="2"/>
  <c r="L39" i="2"/>
  <c r="P39" i="2" s="1"/>
  <c r="N38" i="2"/>
  <c r="L38" i="2"/>
  <c r="P38" i="2" s="1"/>
  <c r="N37" i="2"/>
  <c r="L37" i="2"/>
  <c r="P37" i="2" s="1"/>
  <c r="N36" i="2"/>
  <c r="L36" i="2"/>
  <c r="P36" i="2" s="1"/>
  <c r="N35" i="2"/>
  <c r="L35" i="2"/>
  <c r="P35" i="2" s="1"/>
  <c r="N34" i="2"/>
  <c r="L34" i="2"/>
  <c r="P34" i="2" s="1"/>
  <c r="N33" i="2"/>
  <c r="L33" i="2"/>
  <c r="P33" i="2" s="1"/>
  <c r="N32" i="2"/>
  <c r="L32" i="2"/>
  <c r="P32" i="2" s="1"/>
  <c r="N31" i="2"/>
  <c r="L31" i="2"/>
  <c r="P31" i="2" s="1"/>
  <c r="N30" i="2"/>
  <c r="L30" i="2"/>
  <c r="P30" i="2" s="1"/>
  <c r="N29" i="2"/>
  <c r="L29" i="2"/>
  <c r="P29" i="2" s="1"/>
  <c r="N28" i="2"/>
  <c r="L28" i="2"/>
  <c r="P28" i="2" s="1"/>
  <c r="N27" i="2"/>
  <c r="L27" i="2"/>
  <c r="P27" i="2" s="1"/>
  <c r="N26" i="2"/>
  <c r="L26" i="2"/>
  <c r="P26" i="2" s="1"/>
  <c r="N25" i="2"/>
  <c r="L25" i="2"/>
  <c r="P25" i="2" s="1"/>
  <c r="N24" i="2"/>
  <c r="L24" i="2"/>
  <c r="P24" i="2" s="1"/>
  <c r="N23" i="2"/>
  <c r="L23" i="2"/>
  <c r="P23" i="2" s="1"/>
  <c r="N22" i="2"/>
  <c r="L22" i="2"/>
  <c r="P22" i="2" s="1"/>
  <c r="N21" i="2"/>
  <c r="L21" i="2"/>
  <c r="P21" i="2" s="1"/>
  <c r="N20" i="2"/>
  <c r="L20" i="2"/>
  <c r="P20" i="2" s="1"/>
  <c r="N19" i="2"/>
  <c r="L19" i="2"/>
  <c r="P19" i="2" s="1"/>
  <c r="N18" i="2"/>
  <c r="L18" i="2"/>
  <c r="P18" i="2" s="1"/>
  <c r="N17" i="2"/>
  <c r="L17" i="2"/>
  <c r="P17" i="2" s="1"/>
  <c r="N16" i="2"/>
  <c r="L16" i="2"/>
  <c r="P16" i="2" s="1"/>
  <c r="N15" i="2"/>
  <c r="L15" i="2"/>
  <c r="P15" i="2" s="1"/>
  <c r="N14" i="2"/>
  <c r="L14" i="2"/>
  <c r="P14" i="2" s="1"/>
  <c r="N13" i="2"/>
  <c r="L13" i="2"/>
  <c r="P13" i="2" s="1"/>
  <c r="N12" i="2"/>
  <c r="L12" i="2"/>
  <c r="P12" i="2" s="1"/>
  <c r="N11" i="2"/>
  <c r="L11" i="2"/>
  <c r="P11" i="2" s="1"/>
  <c r="N10" i="2"/>
  <c r="L10" i="2"/>
  <c r="P10" i="2" s="1"/>
  <c r="N9" i="2"/>
  <c r="L9" i="2"/>
  <c r="P9" i="2" s="1"/>
  <c r="N8" i="2"/>
  <c r="L8" i="2"/>
  <c r="P8" i="2" s="1"/>
  <c r="N7" i="2"/>
  <c r="L7" i="2"/>
  <c r="P7" i="2" s="1"/>
  <c r="N6" i="2"/>
  <c r="L6" i="2"/>
  <c r="P6" i="2" s="1"/>
  <c r="J62" i="10" l="1"/>
  <c r="J60" i="10"/>
  <c r="N60" i="10"/>
  <c r="Q10" i="2"/>
  <c r="S10" i="2" s="1"/>
  <c r="F10" i="4" s="1"/>
  <c r="G10" i="4" s="1"/>
  <c r="H10" i="4" s="1"/>
  <c r="Q20" i="2"/>
  <c r="S20" i="2" s="1"/>
  <c r="F20" i="4" s="1"/>
  <c r="G20" i="4" s="1"/>
  <c r="Q48" i="2"/>
  <c r="S48" i="2" s="1"/>
  <c r="F48" i="4" s="1"/>
  <c r="G48" i="4" s="1"/>
  <c r="H48" i="4" s="1"/>
  <c r="H26" i="7"/>
  <c r="H67" i="7"/>
  <c r="H68" i="7"/>
  <c r="H69" i="7"/>
  <c r="H70" i="7"/>
  <c r="Q41" i="2"/>
  <c r="S41" i="2" s="1"/>
  <c r="F41" i="4" s="1"/>
  <c r="G41" i="4" s="1"/>
  <c r="H41" i="4" s="1"/>
  <c r="Q46" i="2"/>
  <c r="S46" i="2" s="1"/>
  <c r="F46" i="4" s="1"/>
  <c r="G46" i="4" s="1"/>
  <c r="J46" i="4" s="1"/>
  <c r="Q61" i="2"/>
  <c r="S61" i="2" s="1"/>
  <c r="F61" i="4" s="1"/>
  <c r="G61" i="4" s="1"/>
  <c r="Q18" i="2"/>
  <c r="S18" i="2" s="1"/>
  <c r="F18" i="4" s="1"/>
  <c r="G18" i="4" s="1"/>
  <c r="Q33" i="2"/>
  <c r="S33" i="2" s="1"/>
  <c r="F33" i="4" s="1"/>
  <c r="G33" i="4" s="1"/>
  <c r="J33" i="4" s="1"/>
  <c r="Q42" i="2"/>
  <c r="S42" i="2" s="1"/>
  <c r="F42" i="4" s="1"/>
  <c r="G42" i="4" s="1"/>
  <c r="H42" i="4" s="1"/>
  <c r="Q62" i="2"/>
  <c r="S62" i="2" s="1"/>
  <c r="F62" i="4" s="1"/>
  <c r="G62" i="4" s="1"/>
  <c r="H62" i="4" s="1"/>
  <c r="H13" i="7"/>
  <c r="H23" i="7"/>
  <c r="H27" i="7"/>
  <c r="H28" i="7"/>
  <c r="H71" i="7"/>
  <c r="H72" i="7"/>
  <c r="I37" i="3"/>
  <c r="J37" i="3" s="1"/>
  <c r="Q16" i="2"/>
  <c r="S16" i="2" s="1"/>
  <c r="F16" i="4" s="1"/>
  <c r="G16" i="4" s="1"/>
  <c r="Q26" i="2"/>
  <c r="S26" i="2" s="1"/>
  <c r="F26" i="4" s="1"/>
  <c r="G26" i="4" s="1"/>
  <c r="Q36" i="2"/>
  <c r="S36" i="2" s="1"/>
  <c r="F36" i="4" s="1"/>
  <c r="G36" i="4" s="1"/>
  <c r="J36" i="4" s="1"/>
  <c r="Q64" i="2"/>
  <c r="S64" i="2" s="1"/>
  <c r="F64" i="4" s="1"/>
  <c r="G64" i="4" s="1"/>
  <c r="I42" i="3"/>
  <c r="J42" i="3" s="1"/>
  <c r="H14" i="7"/>
  <c r="H41" i="7"/>
  <c r="H66" i="7"/>
  <c r="Q37" i="2"/>
  <c r="S37" i="2" s="1"/>
  <c r="F37" i="4" s="1"/>
  <c r="G37" i="4" s="1"/>
  <c r="H37" i="4" s="1"/>
  <c r="F74" i="6"/>
  <c r="Q38" i="2"/>
  <c r="S38" i="2" s="1"/>
  <c r="F38" i="4" s="1"/>
  <c r="G38" i="4" s="1"/>
  <c r="H38" i="4" s="1"/>
  <c r="Q57" i="2"/>
  <c r="S57" i="2" s="1"/>
  <c r="F57" i="4" s="1"/>
  <c r="G57" i="4" s="1"/>
  <c r="F75" i="6"/>
  <c r="F86" i="6"/>
  <c r="I24" i="8"/>
  <c r="Q29" i="2"/>
  <c r="S29" i="2" s="1"/>
  <c r="F29" i="4" s="1"/>
  <c r="G29" i="4" s="1"/>
  <c r="I34" i="3"/>
  <c r="K34" i="3" s="1"/>
  <c r="I44" i="3"/>
  <c r="K44" i="3" s="1"/>
  <c r="H29" i="7"/>
  <c r="H34" i="7"/>
  <c r="H42" i="7"/>
  <c r="H43" i="7"/>
  <c r="H45" i="7"/>
  <c r="H48" i="7"/>
  <c r="H49" i="7"/>
  <c r="H53" i="7"/>
  <c r="H58" i="7"/>
  <c r="H65" i="7"/>
  <c r="I27" i="3"/>
  <c r="M27" i="3" s="1"/>
  <c r="Q21" i="2"/>
  <c r="S21" i="2" s="1"/>
  <c r="F21" i="4" s="1"/>
  <c r="G21" i="4" s="1"/>
  <c r="Q59" i="2"/>
  <c r="S59" i="2" s="1"/>
  <c r="F59" i="4" s="1"/>
  <c r="G59" i="4" s="1"/>
  <c r="Q22" i="2"/>
  <c r="S22" i="2" s="1"/>
  <c r="F22" i="4" s="1"/>
  <c r="G22" i="4" s="1"/>
  <c r="H22" i="4" s="1"/>
  <c r="Q39" i="2"/>
  <c r="S39" i="2" s="1"/>
  <c r="F39" i="4" s="1"/>
  <c r="G39" i="4" s="1"/>
  <c r="Q43" i="2"/>
  <c r="S43" i="2" s="1"/>
  <c r="F43" i="4" s="1"/>
  <c r="G43" i="4" s="1"/>
  <c r="I43" i="4" s="1"/>
  <c r="Q52" i="2"/>
  <c r="S52" i="2" s="1"/>
  <c r="F52" i="4" s="1"/>
  <c r="G52" i="4" s="1"/>
  <c r="J52" i="4" s="1"/>
  <c r="Q27" i="2"/>
  <c r="S27" i="2" s="1"/>
  <c r="F27" i="4" s="1"/>
  <c r="G27" i="4" s="1"/>
  <c r="I27" i="4" s="1"/>
  <c r="I23" i="8"/>
  <c r="D30" i="8"/>
  <c r="I31" i="3"/>
  <c r="K31" i="3" s="1"/>
  <c r="I41" i="3"/>
  <c r="K41" i="3" s="1"/>
  <c r="Q6" i="2"/>
  <c r="S6" i="2" s="1"/>
  <c r="F6" i="4" s="1"/>
  <c r="G6" i="4" s="1"/>
  <c r="Q19" i="2"/>
  <c r="S19" i="2" s="1"/>
  <c r="F19" i="4" s="1"/>
  <c r="G19" i="4" s="1"/>
  <c r="I19" i="4" s="1"/>
  <c r="Q24" i="2"/>
  <c r="S24" i="2" s="1"/>
  <c r="F24" i="4" s="1"/>
  <c r="G24" i="4" s="1"/>
  <c r="I24" i="4" s="1"/>
  <c r="H15" i="7"/>
  <c r="H16" i="7"/>
  <c r="H24" i="7"/>
  <c r="Q9" i="2"/>
  <c r="S9" i="2" s="1"/>
  <c r="F9" i="4" s="1"/>
  <c r="G9" i="4" s="1"/>
  <c r="I9" i="4" s="1"/>
  <c r="Q17" i="2"/>
  <c r="S17" i="2" s="1"/>
  <c r="F17" i="4" s="1"/>
  <c r="G17" i="4" s="1"/>
  <c r="I29" i="3"/>
  <c r="J29" i="3" s="1"/>
  <c r="I36" i="3"/>
  <c r="K36" i="3" s="1"/>
  <c r="BD7" i="10"/>
  <c r="Q51" i="2"/>
  <c r="S51" i="2" s="1"/>
  <c r="F51" i="4" s="1"/>
  <c r="G51" i="4" s="1"/>
  <c r="Q58" i="2"/>
  <c r="S58" i="2" s="1"/>
  <c r="F58" i="4" s="1"/>
  <c r="G58" i="4" s="1"/>
  <c r="J58" i="4" s="1"/>
  <c r="F90" i="6"/>
  <c r="Q40" i="2"/>
  <c r="S40" i="2" s="1"/>
  <c r="F40" i="4" s="1"/>
  <c r="G40" i="4" s="1"/>
  <c r="J40" i="4" s="1"/>
  <c r="I39" i="3"/>
  <c r="K39" i="3" s="1"/>
  <c r="H18" i="7"/>
  <c r="H19" i="7"/>
  <c r="H21" i="7"/>
  <c r="I21" i="8"/>
  <c r="Q34" i="2"/>
  <c r="S34" i="2" s="1"/>
  <c r="F34" i="4" s="1"/>
  <c r="G34" i="4" s="1"/>
  <c r="Q44" i="2"/>
  <c r="S44" i="2" s="1"/>
  <c r="F44" i="4" s="1"/>
  <c r="G44" i="4" s="1"/>
  <c r="Q56" i="2"/>
  <c r="S56" i="2" s="1"/>
  <c r="F56" i="4" s="1"/>
  <c r="G56" i="4" s="1"/>
  <c r="F68" i="6"/>
  <c r="H25" i="7"/>
  <c r="D9" i="9"/>
  <c r="F87" i="6"/>
  <c r="H30" i="7"/>
  <c r="H32" i="7"/>
  <c r="H33" i="7"/>
  <c r="Q13" i="2"/>
  <c r="S13" i="2" s="1"/>
  <c r="F13" i="4" s="1"/>
  <c r="G13" i="4" s="1"/>
  <c r="Q28" i="2"/>
  <c r="S28" i="2" s="1"/>
  <c r="F28" i="4" s="1"/>
  <c r="G28" i="4" s="1"/>
  <c r="Q50" i="2"/>
  <c r="S50" i="2" s="1"/>
  <c r="F50" i="4" s="1"/>
  <c r="G50" i="4" s="1"/>
  <c r="I50" i="4" s="1"/>
  <c r="H35" i="7"/>
  <c r="H38" i="7"/>
  <c r="H39" i="7"/>
  <c r="H40" i="7"/>
  <c r="H51" i="7"/>
  <c r="H56" i="7"/>
  <c r="H61" i="7"/>
  <c r="H64" i="7"/>
  <c r="Q7" i="2"/>
  <c r="S7" i="2" s="1"/>
  <c r="F7" i="4" s="1"/>
  <c r="G7" i="4" s="1"/>
  <c r="Q45" i="2"/>
  <c r="S45" i="2" s="1"/>
  <c r="F45" i="4" s="1"/>
  <c r="G45" i="4" s="1"/>
  <c r="H45" i="4" s="1"/>
  <c r="Q63" i="2"/>
  <c r="S63" i="2" s="1"/>
  <c r="F63" i="4" s="1"/>
  <c r="G63" i="4" s="1"/>
  <c r="I63" i="4" s="1"/>
  <c r="I40" i="3"/>
  <c r="M40" i="3" s="1"/>
  <c r="I64" i="3"/>
  <c r="J64" i="3" s="1"/>
  <c r="F72" i="6"/>
  <c r="F91" i="6"/>
  <c r="Q15" i="2"/>
  <c r="S15" i="2" s="1"/>
  <c r="F15" i="4" s="1"/>
  <c r="G15" i="4" s="1"/>
  <c r="J15" i="4" s="1"/>
  <c r="Q55" i="2"/>
  <c r="S55" i="2" s="1"/>
  <c r="F55" i="4" s="1"/>
  <c r="G55" i="4" s="1"/>
  <c r="I55" i="4" s="1"/>
  <c r="I46" i="3"/>
  <c r="J46" i="3" s="1"/>
  <c r="F99" i="6"/>
  <c r="H31" i="7"/>
  <c r="Q49" i="2"/>
  <c r="S49" i="2" s="1"/>
  <c r="F49" i="4" s="1"/>
  <c r="G49" i="4" s="1"/>
  <c r="B50" i="6"/>
  <c r="C106" i="6" s="1"/>
  <c r="F80" i="6"/>
  <c r="F92" i="6"/>
  <c r="H36" i="7"/>
  <c r="Q12" i="2"/>
  <c r="S12" i="2" s="1"/>
  <c r="F12" i="4" s="1"/>
  <c r="G12" i="4" s="1"/>
  <c r="H12" i="4" s="1"/>
  <c r="Q30" i="2"/>
  <c r="S30" i="2" s="1"/>
  <c r="F30" i="4" s="1"/>
  <c r="G30" i="4" s="1"/>
  <c r="I30" i="4" s="1"/>
  <c r="H46" i="7"/>
  <c r="I22" i="8"/>
  <c r="Q25" i="2"/>
  <c r="S25" i="2" s="1"/>
  <c r="F25" i="4" s="1"/>
  <c r="G25" i="4" s="1"/>
  <c r="J25" i="4" s="1"/>
  <c r="I49" i="3"/>
  <c r="K49" i="3" s="1"/>
  <c r="I59" i="3"/>
  <c r="K59" i="3" s="1"/>
  <c r="Q31" i="2"/>
  <c r="S31" i="2" s="1"/>
  <c r="F31" i="4" s="1"/>
  <c r="G31" i="4" s="1"/>
  <c r="I9" i="3"/>
  <c r="M9" i="3" s="1"/>
  <c r="F88" i="6"/>
  <c r="F94" i="6"/>
  <c r="H50" i="7"/>
  <c r="AX7" i="10"/>
  <c r="Q65" i="2"/>
  <c r="S65" i="2" s="1"/>
  <c r="F65" i="4" s="1"/>
  <c r="G65" i="4" s="1"/>
  <c r="J65" i="4" s="1"/>
  <c r="I19" i="3"/>
  <c r="J19" i="3" s="1"/>
  <c r="I35" i="3"/>
  <c r="I65" i="3"/>
  <c r="J65" i="3" s="1"/>
  <c r="H20" i="7"/>
  <c r="H54" i="7"/>
  <c r="H55" i="7"/>
  <c r="H57" i="7"/>
  <c r="AY7" i="10"/>
  <c r="Q35" i="2"/>
  <c r="S35" i="2" s="1"/>
  <c r="F35" i="4" s="1"/>
  <c r="G35" i="4" s="1"/>
  <c r="J35" i="4" s="1"/>
  <c r="F70" i="6"/>
  <c r="H59" i="7"/>
  <c r="H60" i="7"/>
  <c r="H63" i="7"/>
  <c r="I25" i="8"/>
  <c r="AZ7" i="10"/>
  <c r="B44" i="6"/>
  <c r="AL17" i="10" s="1"/>
  <c r="Q8" i="2"/>
  <c r="S8" i="2" s="1"/>
  <c r="F8" i="4" s="1"/>
  <c r="G8" i="4" s="1"/>
  <c r="Q11" i="2"/>
  <c r="S11" i="2" s="1"/>
  <c r="F11" i="4" s="1"/>
  <c r="G11" i="4" s="1"/>
  <c r="Q14" i="2"/>
  <c r="S14" i="2" s="1"/>
  <c r="F14" i="4" s="1"/>
  <c r="G14" i="4" s="1"/>
  <c r="Q23" i="2"/>
  <c r="S23" i="2" s="1"/>
  <c r="F23" i="4" s="1"/>
  <c r="G23" i="4" s="1"/>
  <c r="Q32" i="2"/>
  <c r="S32" i="2" s="1"/>
  <c r="F32" i="4" s="1"/>
  <c r="G32" i="4" s="1"/>
  <c r="H32" i="4" s="1"/>
  <c r="Q54" i="2"/>
  <c r="S54" i="2" s="1"/>
  <c r="F54" i="4" s="1"/>
  <c r="G54" i="4" s="1"/>
  <c r="Q60" i="2"/>
  <c r="S60" i="2" s="1"/>
  <c r="F60" i="4" s="1"/>
  <c r="G60" i="4" s="1"/>
  <c r="J60" i="4" s="1"/>
  <c r="I50" i="3"/>
  <c r="L50" i="3" s="1"/>
  <c r="I60" i="3"/>
  <c r="M60" i="3" s="1"/>
  <c r="Q53" i="2"/>
  <c r="S53" i="2" s="1"/>
  <c r="F53" i="4" s="1"/>
  <c r="G53" i="4" s="1"/>
  <c r="I10" i="3"/>
  <c r="K10" i="3" s="1"/>
  <c r="I13" i="3"/>
  <c r="L13" i="3" s="1"/>
  <c r="I14" i="3"/>
  <c r="M14" i="3" s="1"/>
  <c r="I18" i="3"/>
  <c r="K18" i="3" s="1"/>
  <c r="I54" i="3"/>
  <c r="M54" i="3" s="1"/>
  <c r="C70" i="4"/>
  <c r="I24" i="3"/>
  <c r="M24" i="3" s="1"/>
  <c r="I26" i="3"/>
  <c r="M26" i="3" s="1"/>
  <c r="I8" i="3"/>
  <c r="K8" i="3" s="1"/>
  <c r="I12" i="3"/>
  <c r="J12" i="3" s="1"/>
  <c r="I45" i="3"/>
  <c r="K45" i="3" s="1"/>
  <c r="I22" i="3"/>
  <c r="J22" i="3" s="1"/>
  <c r="I52" i="3"/>
  <c r="J52" i="3" s="1"/>
  <c r="I17" i="3"/>
  <c r="J17" i="3" s="1"/>
  <c r="I11" i="3"/>
  <c r="J11" i="3" s="1"/>
  <c r="I15" i="3"/>
  <c r="M15" i="3" s="1"/>
  <c r="I21" i="3"/>
  <c r="J21" i="3" s="1"/>
  <c r="I48" i="3"/>
  <c r="L48" i="3" s="1"/>
  <c r="C6" i="5"/>
  <c r="AJ15" i="10"/>
  <c r="C72" i="4"/>
  <c r="C74" i="4"/>
  <c r="C26" i="6"/>
  <c r="P26" i="6" s="1"/>
  <c r="Q47" i="2"/>
  <c r="S47" i="2" s="1"/>
  <c r="F47" i="4" s="1"/>
  <c r="G47" i="4" s="1"/>
  <c r="I16" i="3"/>
  <c r="J16" i="3" s="1"/>
  <c r="I32" i="3"/>
  <c r="K32" i="3" s="1"/>
  <c r="I51" i="3"/>
  <c r="J51" i="3" s="1"/>
  <c r="I20" i="3"/>
  <c r="I23" i="3"/>
  <c r="K23" i="3" s="1"/>
  <c r="AJ7" i="10"/>
  <c r="C30" i="6"/>
  <c r="L30" i="6" s="1"/>
  <c r="C27" i="6"/>
  <c r="L27" i="6" s="1"/>
  <c r="C22" i="6"/>
  <c r="C76" i="4"/>
  <c r="C71" i="4"/>
  <c r="C69" i="4"/>
  <c r="Y13" i="10"/>
  <c r="B54" i="6"/>
  <c r="I63" i="3"/>
  <c r="K63" i="3" s="1"/>
  <c r="Y7" i="10"/>
  <c r="B48" i="6"/>
  <c r="C20" i="6"/>
  <c r="I20" i="6" s="1"/>
  <c r="J20" i="6" s="1"/>
  <c r="B34" i="6"/>
  <c r="I55" i="3"/>
  <c r="K55" i="3" s="1"/>
  <c r="I58" i="3"/>
  <c r="K58" i="3" s="1"/>
  <c r="C78" i="4"/>
  <c r="C23" i="6"/>
  <c r="L23" i="6" s="1"/>
  <c r="I53" i="3"/>
  <c r="K53" i="3" s="1"/>
  <c r="Y12" i="10"/>
  <c r="C25" i="6"/>
  <c r="AA12" i="10" s="1"/>
  <c r="B39" i="6"/>
  <c r="AL12" i="10" s="1"/>
  <c r="B53" i="6"/>
  <c r="I43" i="3"/>
  <c r="K43" i="3" s="1"/>
  <c r="I61" i="3"/>
  <c r="J61" i="3" s="1"/>
  <c r="I62" i="3"/>
  <c r="J62" i="3" s="1"/>
  <c r="I6" i="3"/>
  <c r="J6" i="3" s="1"/>
  <c r="I7" i="3"/>
  <c r="J7" i="3" s="1"/>
  <c r="I38" i="3"/>
  <c r="K38" i="3" s="1"/>
  <c r="I56" i="3"/>
  <c r="J56" i="3" s="1"/>
  <c r="I57" i="3"/>
  <c r="J57" i="3" s="1"/>
  <c r="C79" i="4"/>
  <c r="I30" i="3"/>
  <c r="I33" i="3"/>
  <c r="K33" i="3" s="1"/>
  <c r="Y8" i="10"/>
  <c r="B35" i="6"/>
  <c r="AL8" i="10" s="1"/>
  <c r="B49" i="6"/>
  <c r="I25" i="3"/>
  <c r="M25" i="3" s="1"/>
  <c r="I28" i="3"/>
  <c r="K28" i="3" s="1"/>
  <c r="I47" i="3"/>
  <c r="K47" i="3" s="1"/>
  <c r="C73" i="4"/>
  <c r="C75" i="4"/>
  <c r="C77" i="4"/>
  <c r="C21" i="6"/>
  <c r="G21" i="6" s="1"/>
  <c r="C24" i="6"/>
  <c r="O24" i="6" s="1"/>
  <c r="B40" i="6"/>
  <c r="AL13" i="10" s="1"/>
  <c r="Y10" i="10"/>
  <c r="B37" i="6"/>
  <c r="AL10" i="10" s="1"/>
  <c r="Y11" i="10"/>
  <c r="B52" i="6"/>
  <c r="C158" i="6"/>
  <c r="C111" i="6"/>
  <c r="C133" i="6"/>
  <c r="C169" i="6"/>
  <c r="C147" i="6"/>
  <c r="C97" i="6"/>
  <c r="C122" i="6"/>
  <c r="C75" i="6"/>
  <c r="B51" i="6"/>
  <c r="H44" i="7"/>
  <c r="Y15" i="10"/>
  <c r="B42" i="6"/>
  <c r="AL15" i="10" s="1"/>
  <c r="Y16" i="10"/>
  <c r="B57" i="6"/>
  <c r="B43" i="6"/>
  <c r="AL16" i="10" s="1"/>
  <c r="B56" i="6"/>
  <c r="C28" i="6"/>
  <c r="P28" i="6" s="1"/>
  <c r="C29" i="6"/>
  <c r="K29" i="6" s="1"/>
  <c r="B38" i="6"/>
  <c r="AL11" i="10" s="1"/>
  <c r="F82" i="6"/>
  <c r="F71" i="6"/>
  <c r="F95" i="6"/>
  <c r="F84" i="6"/>
  <c r="F73" i="6"/>
  <c r="F89" i="6"/>
  <c r="F78" i="6"/>
  <c r="B36" i="6"/>
  <c r="AL9" i="10" s="1"/>
  <c r="F85" i="6"/>
  <c r="Y14" i="10"/>
  <c r="B41" i="6"/>
  <c r="AL14" i="10" s="1"/>
  <c r="F76" i="6"/>
  <c r="F93" i="6"/>
  <c r="F100" i="6"/>
  <c r="B58" i="6"/>
  <c r="H37" i="7"/>
  <c r="H47" i="7"/>
  <c r="B7" i="8"/>
  <c r="AW7" i="10"/>
  <c r="J55" i="10" s="1"/>
  <c r="C7" i="8"/>
  <c r="E7" i="9"/>
  <c r="E6" i="9"/>
  <c r="E10" i="9"/>
  <c r="H22" i="7"/>
  <c r="H62" i="7"/>
  <c r="F7" i="8"/>
  <c r="D31" i="8"/>
  <c r="E7" i="8"/>
  <c r="D7" i="8"/>
  <c r="N7" i="8"/>
  <c r="H17" i="7"/>
  <c r="H52" i="7"/>
  <c r="E8" i="9"/>
  <c r="D8" i="9"/>
  <c r="J42" i="4" l="1"/>
  <c r="BE7" i="10"/>
  <c r="K42" i="3"/>
  <c r="K37" i="3"/>
  <c r="M41" i="3"/>
  <c r="M44" i="3"/>
  <c r="I42" i="4"/>
  <c r="J44" i="3"/>
  <c r="J10" i="4"/>
  <c r="I37" i="4"/>
  <c r="K27" i="3"/>
  <c r="M64" i="3"/>
  <c r="L31" i="3"/>
  <c r="M49" i="3"/>
  <c r="I62" i="4"/>
  <c r="C70" i="6"/>
  <c r="J62" i="4"/>
  <c r="C128" i="6"/>
  <c r="C164" i="6"/>
  <c r="M42" i="3"/>
  <c r="I52" i="4"/>
  <c r="H9" i="4"/>
  <c r="L41" i="3"/>
  <c r="H33" i="4"/>
  <c r="J39" i="3"/>
  <c r="M36" i="3"/>
  <c r="L36" i="3"/>
  <c r="I33" i="4"/>
  <c r="L27" i="3"/>
  <c r="C153" i="6"/>
  <c r="C142" i="6"/>
  <c r="C117" i="6"/>
  <c r="J48" i="4"/>
  <c r="J34" i="3"/>
  <c r="H20" i="4"/>
  <c r="J20" i="4"/>
  <c r="I20" i="4"/>
  <c r="M37" i="3"/>
  <c r="J36" i="3"/>
  <c r="H52" i="4"/>
  <c r="L37" i="3"/>
  <c r="I10" i="4"/>
  <c r="I22" i="4"/>
  <c r="I58" i="4"/>
  <c r="J27" i="4"/>
  <c r="J27" i="3"/>
  <c r="H36" i="4"/>
  <c r="C81" i="6"/>
  <c r="C92" i="6"/>
  <c r="L49" i="3"/>
  <c r="I48" i="4"/>
  <c r="L29" i="3"/>
  <c r="H27" i="4"/>
  <c r="J22" i="4"/>
  <c r="J24" i="4"/>
  <c r="L42" i="3"/>
  <c r="L34" i="3"/>
  <c r="J61" i="4"/>
  <c r="I61" i="4"/>
  <c r="H61" i="4"/>
  <c r="Q21" i="6"/>
  <c r="H24" i="4"/>
  <c r="L44" i="3"/>
  <c r="M59" i="3"/>
  <c r="J9" i="4"/>
  <c r="I40" i="4"/>
  <c r="J37" i="4"/>
  <c r="N25" i="6"/>
  <c r="J56" i="10"/>
  <c r="L39" i="3"/>
  <c r="H19" i="4"/>
  <c r="M34" i="3"/>
  <c r="H63" i="4"/>
  <c r="J38" i="4"/>
  <c r="K25" i="6"/>
  <c r="I38" i="4"/>
  <c r="G25" i="6"/>
  <c r="I41" i="4"/>
  <c r="J41" i="4"/>
  <c r="L9" i="3"/>
  <c r="Q25" i="6"/>
  <c r="K46" i="3"/>
  <c r="J12" i="4"/>
  <c r="H57" i="4"/>
  <c r="J57" i="4"/>
  <c r="I57" i="4"/>
  <c r="P25" i="6"/>
  <c r="M39" i="6" s="1"/>
  <c r="M25" i="6"/>
  <c r="H50" i="4"/>
  <c r="N23" i="6"/>
  <c r="O23" i="6"/>
  <c r="J51" i="6" s="1"/>
  <c r="K60" i="3"/>
  <c r="J50" i="4"/>
  <c r="H25" i="6"/>
  <c r="M16" i="3"/>
  <c r="I35" i="4"/>
  <c r="N26" i="6"/>
  <c r="H58" i="4"/>
  <c r="I15" i="4"/>
  <c r="M39" i="3"/>
  <c r="I25" i="4"/>
  <c r="H43" i="4"/>
  <c r="H25" i="4"/>
  <c r="J31" i="3"/>
  <c r="P23" i="6"/>
  <c r="M37" i="6" s="1"/>
  <c r="O25" i="6"/>
  <c r="L39" i="6" s="1"/>
  <c r="M31" i="3"/>
  <c r="M32" i="3"/>
  <c r="I60" i="4"/>
  <c r="J43" i="4"/>
  <c r="J45" i="4"/>
  <c r="L25" i="6"/>
  <c r="K52" i="3"/>
  <c r="J19" i="4"/>
  <c r="G23" i="6"/>
  <c r="I25" i="6"/>
  <c r="J25" i="6" s="1"/>
  <c r="M24" i="6"/>
  <c r="K26" i="6"/>
  <c r="M23" i="6"/>
  <c r="K37" i="6" s="1"/>
  <c r="Q23" i="6"/>
  <c r="M22" i="3"/>
  <c r="I12" i="4"/>
  <c r="H15" i="4"/>
  <c r="J59" i="3"/>
  <c r="K24" i="6"/>
  <c r="K50" i="3"/>
  <c r="L11" i="3"/>
  <c r="H60" i="4"/>
  <c r="H40" i="4"/>
  <c r="J41" i="3"/>
  <c r="L24" i="6"/>
  <c r="J49" i="3"/>
  <c r="L59" i="3"/>
  <c r="M19" i="3"/>
  <c r="I36" i="4"/>
  <c r="J55" i="4"/>
  <c r="L65" i="3"/>
  <c r="M65" i="3"/>
  <c r="F7" i="9"/>
  <c r="K21" i="6"/>
  <c r="L46" i="3"/>
  <c r="L51" i="3"/>
  <c r="L26" i="6"/>
  <c r="J30" i="4"/>
  <c r="H35" i="4"/>
  <c r="I45" i="4"/>
  <c r="K65" i="3"/>
  <c r="Q26" i="6"/>
  <c r="H55" i="4"/>
  <c r="K29" i="3"/>
  <c r="M29" i="3"/>
  <c r="L21" i="3"/>
  <c r="K13" i="3"/>
  <c r="L61" i="3"/>
  <c r="J50" i="3"/>
  <c r="H30" i="4"/>
  <c r="K9" i="3"/>
  <c r="J9" i="3"/>
  <c r="O20" i="6"/>
  <c r="J48" i="6" s="1"/>
  <c r="Q20" i="6"/>
  <c r="J35" i="3"/>
  <c r="M35" i="3"/>
  <c r="L35" i="3"/>
  <c r="L63" i="3"/>
  <c r="L60" i="3"/>
  <c r="J60" i="3"/>
  <c r="L20" i="6"/>
  <c r="K35" i="3"/>
  <c r="M47" i="3"/>
  <c r="M20" i="6"/>
  <c r="L52" i="3"/>
  <c r="I21" i="6"/>
  <c r="J21" i="6" s="1"/>
  <c r="M46" i="3"/>
  <c r="N20" i="6"/>
  <c r="H26" i="6"/>
  <c r="M50" i="3"/>
  <c r="J63" i="4"/>
  <c r="H65" i="4"/>
  <c r="L19" i="3"/>
  <c r="I32" i="4"/>
  <c r="H46" i="4"/>
  <c r="K64" i="3"/>
  <c r="L64" i="3"/>
  <c r="L62" i="3"/>
  <c r="I65" i="4"/>
  <c r="K19" i="3"/>
  <c r="J32" i="4"/>
  <c r="I46" i="4"/>
  <c r="J40" i="3"/>
  <c r="L40" i="3"/>
  <c r="K40" i="3"/>
  <c r="H77" i="4"/>
  <c r="M52" i="3"/>
  <c r="K21" i="3"/>
  <c r="M61" i="3"/>
  <c r="L38" i="6"/>
  <c r="J52" i="6"/>
  <c r="K56" i="6"/>
  <c r="M42" i="6"/>
  <c r="F6" i="9"/>
  <c r="G9" i="9"/>
  <c r="F9" i="9"/>
  <c r="O28" i="6"/>
  <c r="M57" i="3"/>
  <c r="AA7" i="10"/>
  <c r="H20" i="6"/>
  <c r="G20" i="6"/>
  <c r="AA14" i="10"/>
  <c r="K27" i="6"/>
  <c r="H55" i="6" s="1"/>
  <c r="M27" i="6"/>
  <c r="G27" i="6"/>
  <c r="H27" i="6"/>
  <c r="I27" i="6"/>
  <c r="J27" i="6" s="1"/>
  <c r="Q27" i="6"/>
  <c r="P27" i="6"/>
  <c r="O27" i="6"/>
  <c r="N27" i="6"/>
  <c r="M23" i="3"/>
  <c r="J23" i="3"/>
  <c r="H47" i="4"/>
  <c r="J47" i="4"/>
  <c r="I47" i="4"/>
  <c r="M48" i="3"/>
  <c r="J48" i="3"/>
  <c r="J31" i="4"/>
  <c r="I31" i="4"/>
  <c r="H31" i="4"/>
  <c r="L8" i="3"/>
  <c r="L17" i="3"/>
  <c r="H13" i="4"/>
  <c r="I13" i="4"/>
  <c r="J13" i="4"/>
  <c r="L26" i="3"/>
  <c r="L6" i="3"/>
  <c r="M62" i="3"/>
  <c r="G6" i="9"/>
  <c r="C159" i="6"/>
  <c r="C134" i="6"/>
  <c r="C170" i="6"/>
  <c r="C148" i="6"/>
  <c r="C98" i="6"/>
  <c r="C112" i="6"/>
  <c r="C123" i="6"/>
  <c r="C87" i="6"/>
  <c r="C76" i="6"/>
  <c r="J6" i="4"/>
  <c r="I6" i="4"/>
  <c r="H6" i="4"/>
  <c r="H64" i="4"/>
  <c r="I64" i="4"/>
  <c r="J64" i="4"/>
  <c r="AA11" i="10"/>
  <c r="P24" i="6"/>
  <c r="H24" i="6"/>
  <c r="G24" i="6"/>
  <c r="I28" i="4"/>
  <c r="H28" i="4"/>
  <c r="J28" i="4"/>
  <c r="M33" i="3"/>
  <c r="L33" i="3"/>
  <c r="J33" i="3"/>
  <c r="M56" i="3"/>
  <c r="M53" i="3"/>
  <c r="J53" i="3"/>
  <c r="M58" i="3"/>
  <c r="J58" i="3"/>
  <c r="H76" i="4"/>
  <c r="AA17" i="10"/>
  <c r="O30" i="6"/>
  <c r="N30" i="6"/>
  <c r="M30" i="6"/>
  <c r="P30" i="6"/>
  <c r="Q30" i="6"/>
  <c r="K30" i="6"/>
  <c r="H58" i="6" s="1"/>
  <c r="H30" i="6"/>
  <c r="G30" i="6"/>
  <c r="I30" i="6"/>
  <c r="J30" i="6" s="1"/>
  <c r="K20" i="3"/>
  <c r="L20" i="3"/>
  <c r="J20" i="3"/>
  <c r="H29" i="4"/>
  <c r="I29" i="4"/>
  <c r="J29" i="4"/>
  <c r="K56" i="3"/>
  <c r="M20" i="3"/>
  <c r="M21" i="3"/>
  <c r="L22" i="3"/>
  <c r="O29" i="6"/>
  <c r="I24" i="6"/>
  <c r="J24" i="6" s="1"/>
  <c r="H59" i="4"/>
  <c r="I59" i="4"/>
  <c r="J59" i="4"/>
  <c r="AA8" i="10"/>
  <c r="P21" i="6"/>
  <c r="O21" i="6"/>
  <c r="N21" i="6"/>
  <c r="L21" i="6"/>
  <c r="M21" i="6"/>
  <c r="J11" i="4"/>
  <c r="H11" i="4"/>
  <c r="I11" i="4"/>
  <c r="M30" i="3"/>
  <c r="L30" i="3"/>
  <c r="K30" i="3"/>
  <c r="J30" i="3"/>
  <c r="C167" i="6"/>
  <c r="C109" i="6"/>
  <c r="C145" i="6"/>
  <c r="C156" i="6"/>
  <c r="C73" i="6"/>
  <c r="C95" i="6"/>
  <c r="C84" i="6"/>
  <c r="C120" i="6"/>
  <c r="C131" i="6"/>
  <c r="M17" i="3"/>
  <c r="L55" i="3"/>
  <c r="J55" i="3"/>
  <c r="J32" i="3"/>
  <c r="L32" i="3"/>
  <c r="AA13" i="10"/>
  <c r="O26" i="6"/>
  <c r="M26" i="6"/>
  <c r="C17" i="12"/>
  <c r="D17" i="12" s="1"/>
  <c r="K12" i="3"/>
  <c r="L53" i="3"/>
  <c r="K6" i="3"/>
  <c r="G7" i="9"/>
  <c r="P29" i="6"/>
  <c r="C166" i="6"/>
  <c r="C144" i="6"/>
  <c r="C155" i="6"/>
  <c r="C130" i="6"/>
  <c r="C119" i="6"/>
  <c r="C83" i="6"/>
  <c r="C108" i="6"/>
  <c r="C94" i="6"/>
  <c r="C72" i="6"/>
  <c r="H54" i="4"/>
  <c r="I54" i="4"/>
  <c r="J54" i="4"/>
  <c r="C116" i="6"/>
  <c r="C163" i="6"/>
  <c r="C127" i="6"/>
  <c r="C80" i="6"/>
  <c r="C105" i="6"/>
  <c r="C141" i="6"/>
  <c r="C91" i="6"/>
  <c r="C152" i="6"/>
  <c r="C69" i="6"/>
  <c r="M38" i="3"/>
  <c r="J38" i="3"/>
  <c r="L38" i="3"/>
  <c r="J16" i="4"/>
  <c r="I16" i="4"/>
  <c r="H16" i="4"/>
  <c r="H74" i="4"/>
  <c r="J26" i="3"/>
  <c r="K26" i="3"/>
  <c r="M11" i="3"/>
  <c r="AA16" i="10"/>
  <c r="N29" i="6"/>
  <c r="G29" i="6"/>
  <c r="M29" i="6"/>
  <c r="L29" i="6"/>
  <c r="H29" i="6"/>
  <c r="I29" i="6"/>
  <c r="J29" i="6" s="1"/>
  <c r="H49" i="4"/>
  <c r="I49" i="4"/>
  <c r="J49" i="4"/>
  <c r="C126" i="6"/>
  <c r="C162" i="6"/>
  <c r="C90" i="6"/>
  <c r="C79" i="6"/>
  <c r="C140" i="6"/>
  <c r="C104" i="6"/>
  <c r="C115" i="6"/>
  <c r="C68" i="6"/>
  <c r="C151" i="6"/>
  <c r="AA9" i="10"/>
  <c r="K22" i="6"/>
  <c r="Q22" i="6"/>
  <c r="P22" i="6"/>
  <c r="O22" i="6"/>
  <c r="H22" i="6"/>
  <c r="I22" i="6"/>
  <c r="J22" i="6" s="1"/>
  <c r="G22" i="6"/>
  <c r="N22" i="6"/>
  <c r="M22" i="6"/>
  <c r="H14" i="4"/>
  <c r="J14" i="4"/>
  <c r="I14" i="4"/>
  <c r="J51" i="4"/>
  <c r="I51" i="4"/>
  <c r="H51" i="4"/>
  <c r="M8" i="3"/>
  <c r="J8" i="3"/>
  <c r="M18" i="3"/>
  <c r="J18" i="3"/>
  <c r="L18" i="3"/>
  <c r="Q29" i="6"/>
  <c r="AA15" i="10"/>
  <c r="H28" i="6"/>
  <c r="N28" i="6"/>
  <c r="M28" i="6"/>
  <c r="L28" i="6"/>
  <c r="K28" i="6"/>
  <c r="I28" i="6"/>
  <c r="J28" i="6" s="1"/>
  <c r="H44" i="4"/>
  <c r="I44" i="4"/>
  <c r="J44" i="4"/>
  <c r="H75" i="4"/>
  <c r="M43" i="3"/>
  <c r="J43" i="3"/>
  <c r="L43" i="3"/>
  <c r="K7" i="3"/>
  <c r="C157" i="6"/>
  <c r="C121" i="6"/>
  <c r="C168" i="6"/>
  <c r="C132" i="6"/>
  <c r="C85" i="6"/>
  <c r="C74" i="6"/>
  <c r="C96" i="6"/>
  <c r="C146" i="6"/>
  <c r="C110" i="6"/>
  <c r="H72" i="4"/>
  <c r="L15" i="3"/>
  <c r="J15" i="3"/>
  <c r="K15" i="3"/>
  <c r="L16" i="3"/>
  <c r="K24" i="3"/>
  <c r="L24" i="3"/>
  <c r="J24" i="3"/>
  <c r="L10" i="3"/>
  <c r="J10" i="3"/>
  <c r="C160" i="6"/>
  <c r="C135" i="6"/>
  <c r="C99" i="6"/>
  <c r="C149" i="6"/>
  <c r="C171" i="6"/>
  <c r="C113" i="6"/>
  <c r="C88" i="6"/>
  <c r="C77" i="6"/>
  <c r="C124" i="6"/>
  <c r="H39" i="4"/>
  <c r="I39" i="4"/>
  <c r="J39" i="4"/>
  <c r="H73" i="4"/>
  <c r="I18" i="4"/>
  <c r="J18" i="4"/>
  <c r="H18" i="4"/>
  <c r="J21" i="4"/>
  <c r="H21" i="4"/>
  <c r="I21" i="4"/>
  <c r="L58" i="3"/>
  <c r="L7" i="3"/>
  <c r="M12" i="3"/>
  <c r="L56" i="3"/>
  <c r="L57" i="3"/>
  <c r="K14" i="3"/>
  <c r="J14" i="3"/>
  <c r="L14" i="3"/>
  <c r="C165" i="6"/>
  <c r="C129" i="6"/>
  <c r="C107" i="6"/>
  <c r="C118" i="6"/>
  <c r="C71" i="6"/>
  <c r="C93" i="6"/>
  <c r="C143" i="6"/>
  <c r="C154" i="6"/>
  <c r="C82" i="6"/>
  <c r="H34" i="4"/>
  <c r="I34" i="4"/>
  <c r="J34" i="4"/>
  <c r="J26" i="4"/>
  <c r="I26" i="4"/>
  <c r="H26" i="4"/>
  <c r="M28" i="3"/>
  <c r="L28" i="3"/>
  <c r="J28" i="3"/>
  <c r="H21" i="6"/>
  <c r="P20" i="6"/>
  <c r="M51" i="3"/>
  <c r="M7" i="3"/>
  <c r="AA10" i="10"/>
  <c r="K23" i="6"/>
  <c r="H51" i="6" s="1"/>
  <c r="I23" i="6"/>
  <c r="J23" i="6" s="1"/>
  <c r="H23" i="6"/>
  <c r="K20" i="6"/>
  <c r="I26" i="6"/>
  <c r="J26" i="6" s="1"/>
  <c r="H69" i="4"/>
  <c r="M55" i="3"/>
  <c r="K11" i="3"/>
  <c r="K22" i="3"/>
  <c r="K17" i="3"/>
  <c r="I23" i="4"/>
  <c r="H23" i="4"/>
  <c r="J23" i="4"/>
  <c r="F8" i="9"/>
  <c r="F10" i="9"/>
  <c r="L22" i="6"/>
  <c r="N24" i="6"/>
  <c r="G28" i="6"/>
  <c r="Q24" i="6"/>
  <c r="L25" i="3"/>
  <c r="K25" i="3"/>
  <c r="J25" i="3"/>
  <c r="H79" i="4"/>
  <c r="K54" i="6"/>
  <c r="M40" i="6"/>
  <c r="M6" i="3"/>
  <c r="H78" i="4"/>
  <c r="AL7" i="10"/>
  <c r="M63" i="3"/>
  <c r="J63" i="3"/>
  <c r="G26" i="6"/>
  <c r="I8" i="4"/>
  <c r="J8" i="4"/>
  <c r="H8" i="4"/>
  <c r="H71" i="4"/>
  <c r="K51" i="3"/>
  <c r="C11" i="8"/>
  <c r="B5" i="10"/>
  <c r="C15" i="5"/>
  <c r="D15" i="5" s="1"/>
  <c r="D6" i="5"/>
  <c r="B6" i="10" s="1"/>
  <c r="C14" i="5"/>
  <c r="C13" i="5"/>
  <c r="D13" i="5" s="1"/>
  <c r="K16" i="3"/>
  <c r="J45" i="3"/>
  <c r="L45" i="3"/>
  <c r="M45" i="3"/>
  <c r="J7" i="4"/>
  <c r="I7" i="4"/>
  <c r="H7" i="4"/>
  <c r="K54" i="3"/>
  <c r="L54" i="3"/>
  <c r="J54" i="3"/>
  <c r="M13" i="3"/>
  <c r="J13" i="3"/>
  <c r="G8" i="9"/>
  <c r="G10" i="9"/>
  <c r="C161" i="6"/>
  <c r="C150" i="6"/>
  <c r="C89" i="6"/>
  <c r="C78" i="6"/>
  <c r="C172" i="6"/>
  <c r="C100" i="6"/>
  <c r="C136" i="6"/>
  <c r="C125" i="6"/>
  <c r="C114" i="6"/>
  <c r="Q28" i="6"/>
  <c r="J47" i="3"/>
  <c r="L47" i="3"/>
  <c r="K57" i="3"/>
  <c r="K62" i="3"/>
  <c r="K48" i="3"/>
  <c r="L12" i="3"/>
  <c r="L23" i="3"/>
  <c r="J17" i="4"/>
  <c r="I17" i="4"/>
  <c r="H17" i="4"/>
  <c r="H70" i="4"/>
  <c r="M10" i="3"/>
  <c r="K61" i="3"/>
  <c r="J56" i="4"/>
  <c r="I56" i="4"/>
  <c r="H56" i="4"/>
  <c r="I53" i="4"/>
  <c r="H53" i="4"/>
  <c r="J53" i="4"/>
  <c r="K42" i="4" l="1"/>
  <c r="L42" i="4" s="1"/>
  <c r="F73" i="4"/>
  <c r="K37" i="4"/>
  <c r="L37" i="4" s="1"/>
  <c r="L37" i="6"/>
  <c r="K51" i="6"/>
  <c r="J118" i="6" s="1"/>
  <c r="K33" i="4"/>
  <c r="L33" i="4" s="1"/>
  <c r="K9" i="4"/>
  <c r="L9" i="4" s="1"/>
  <c r="AI10" i="10" s="1"/>
  <c r="J53" i="6"/>
  <c r="I131" i="6" s="1"/>
  <c r="K22" i="4"/>
  <c r="L22" i="4" s="1"/>
  <c r="K24" i="4"/>
  <c r="L24" i="4" s="1"/>
  <c r="K10" i="4"/>
  <c r="L10" i="4" s="1"/>
  <c r="AI11" i="10" s="1"/>
  <c r="F75" i="4"/>
  <c r="K58" i="4"/>
  <c r="L58" i="4" s="1"/>
  <c r="K41" i="4"/>
  <c r="L41" i="4" s="1"/>
  <c r="I53" i="6"/>
  <c r="H109" i="6" s="1"/>
  <c r="L34" i="6"/>
  <c r="K55" i="4"/>
  <c r="L55" i="4" s="1"/>
  <c r="I54" i="6"/>
  <c r="G74" i="6" s="1"/>
  <c r="K57" i="4"/>
  <c r="L57" i="4" s="1"/>
  <c r="K38" i="4"/>
  <c r="L38" i="4" s="1"/>
  <c r="K39" i="6"/>
  <c r="K20" i="4"/>
  <c r="L20" i="4" s="1"/>
  <c r="I51" i="6"/>
  <c r="G82" i="6" s="1"/>
  <c r="G49" i="6"/>
  <c r="F127" i="6" s="1"/>
  <c r="K48" i="4"/>
  <c r="L48" i="4" s="1"/>
  <c r="K62" i="4"/>
  <c r="L62" i="4" s="1"/>
  <c r="K63" i="4"/>
  <c r="L63" i="4" s="1"/>
  <c r="E75" i="4"/>
  <c r="K52" i="4"/>
  <c r="L52" i="4" s="1"/>
  <c r="K32" i="4"/>
  <c r="L32" i="4" s="1"/>
  <c r="I52" i="6"/>
  <c r="G72" i="6" s="1"/>
  <c r="K50" i="4"/>
  <c r="L50" i="4" s="1"/>
  <c r="H54" i="6"/>
  <c r="G121" i="6" s="1"/>
  <c r="H53" i="6"/>
  <c r="G109" i="6" s="1"/>
  <c r="E74" i="4"/>
  <c r="E73" i="4"/>
  <c r="F72" i="4"/>
  <c r="K19" i="4"/>
  <c r="L19" i="4" s="1"/>
  <c r="G53" i="6"/>
  <c r="F120" i="6" s="1"/>
  <c r="K27" i="4"/>
  <c r="L27" i="4" s="1"/>
  <c r="K34" i="6"/>
  <c r="K61" i="4"/>
  <c r="L61" i="4" s="1"/>
  <c r="K40" i="4"/>
  <c r="L40" i="4" s="1"/>
  <c r="K25" i="4"/>
  <c r="L25" i="4" s="1"/>
  <c r="J39" i="6"/>
  <c r="H48" i="6"/>
  <c r="G115" i="6" s="1"/>
  <c r="K36" i="4"/>
  <c r="L36" i="4" s="1"/>
  <c r="D79" i="4"/>
  <c r="F74" i="4"/>
  <c r="K15" i="4"/>
  <c r="L15" i="4" s="1"/>
  <c r="AI16" i="10" s="1"/>
  <c r="K53" i="6"/>
  <c r="H95" i="6" s="1"/>
  <c r="K35" i="4"/>
  <c r="L35" i="4" s="1"/>
  <c r="K43" i="4"/>
  <c r="L43" i="4" s="1"/>
  <c r="K12" i="4"/>
  <c r="L12" i="4" s="1"/>
  <c r="AI13" i="10" s="1"/>
  <c r="F78" i="4"/>
  <c r="E78" i="4"/>
  <c r="K60" i="4"/>
  <c r="L60" i="4" s="1"/>
  <c r="E72" i="4"/>
  <c r="K46" i="4"/>
  <c r="L46" i="4" s="1"/>
  <c r="K45" i="4"/>
  <c r="L45" i="4" s="1"/>
  <c r="H52" i="6"/>
  <c r="G108" i="6" s="1"/>
  <c r="K38" i="6"/>
  <c r="I48" i="6"/>
  <c r="G79" i="6" s="1"/>
  <c r="F71" i="4"/>
  <c r="F79" i="4"/>
  <c r="K47" i="4"/>
  <c r="L47" i="4" s="1"/>
  <c r="I56" i="6"/>
  <c r="G98" i="6" s="1"/>
  <c r="E79" i="4"/>
  <c r="K30" i="4"/>
  <c r="L30" i="4" s="1"/>
  <c r="K65" i="4"/>
  <c r="L65" i="4" s="1"/>
  <c r="G51" i="6"/>
  <c r="F118" i="6" s="1"/>
  <c r="K17" i="4"/>
  <c r="L17" i="4" s="1"/>
  <c r="K26" i="4"/>
  <c r="L26" i="4" s="1"/>
  <c r="F77" i="4"/>
  <c r="K51" i="4"/>
  <c r="L51" i="4" s="1"/>
  <c r="I55" i="6"/>
  <c r="H111" i="6" s="1"/>
  <c r="K56" i="4"/>
  <c r="L56" i="4" s="1"/>
  <c r="J35" i="6"/>
  <c r="K14" i="4"/>
  <c r="L14" i="4" s="1"/>
  <c r="AI15" i="10" s="1"/>
  <c r="I50" i="6"/>
  <c r="G81" i="6" s="1"/>
  <c r="I49" i="6"/>
  <c r="H127" i="6" s="1"/>
  <c r="G129" i="6"/>
  <c r="G118" i="6"/>
  <c r="G107" i="6"/>
  <c r="G133" i="6"/>
  <c r="G122" i="6"/>
  <c r="G111" i="6"/>
  <c r="G114" i="6"/>
  <c r="G136" i="6"/>
  <c r="G125" i="6"/>
  <c r="I57" i="6"/>
  <c r="G52" i="6"/>
  <c r="J38" i="6"/>
  <c r="K13" i="4"/>
  <c r="L13" i="4" s="1"/>
  <c r="D76" i="4"/>
  <c r="K8" i="4"/>
  <c r="L8" i="4" s="1"/>
  <c r="D71" i="4"/>
  <c r="K23" i="4"/>
  <c r="L23" i="4" s="1"/>
  <c r="K42" i="6"/>
  <c r="H56" i="6"/>
  <c r="G57" i="6"/>
  <c r="J43" i="6"/>
  <c r="J49" i="6"/>
  <c r="L35" i="6"/>
  <c r="J41" i="6"/>
  <c r="G55" i="6"/>
  <c r="C14" i="8"/>
  <c r="D14" i="5"/>
  <c r="K49" i="6"/>
  <c r="M35" i="6"/>
  <c r="K58" i="6"/>
  <c r="M44" i="6"/>
  <c r="K52" i="6"/>
  <c r="M38" i="6"/>
  <c r="G12" i="9"/>
  <c r="K7" i="4"/>
  <c r="L7" i="4" s="1"/>
  <c r="D70" i="4"/>
  <c r="E71" i="4"/>
  <c r="K29" i="4"/>
  <c r="L29" i="4" s="1"/>
  <c r="I58" i="6"/>
  <c r="K31" i="4"/>
  <c r="L31" i="4" s="1"/>
  <c r="D72" i="4"/>
  <c r="E70" i="4"/>
  <c r="J40" i="6"/>
  <c r="G54" i="6"/>
  <c r="I118" i="6"/>
  <c r="J71" i="6"/>
  <c r="I107" i="6"/>
  <c r="J93" i="6"/>
  <c r="J82" i="6"/>
  <c r="I129" i="6"/>
  <c r="I115" i="6"/>
  <c r="J68" i="6"/>
  <c r="J90" i="6"/>
  <c r="I104" i="6"/>
  <c r="I126" i="6"/>
  <c r="J79" i="6"/>
  <c r="K44" i="4"/>
  <c r="L44" i="4" s="1"/>
  <c r="D78" i="4"/>
  <c r="K49" i="4"/>
  <c r="L49" i="4" s="1"/>
  <c r="K54" i="4"/>
  <c r="L54" i="4" s="1"/>
  <c r="K57" i="6"/>
  <c r="M43" i="6"/>
  <c r="J54" i="6"/>
  <c r="L40" i="6"/>
  <c r="J56" i="6"/>
  <c r="L42" i="6"/>
  <c r="K53" i="4"/>
  <c r="L53" i="4" s="1"/>
  <c r="D77" i="4"/>
  <c r="F70" i="4"/>
  <c r="J37" i="6"/>
  <c r="G50" i="6"/>
  <c r="J36" i="6"/>
  <c r="K16" i="4"/>
  <c r="L16" i="4" s="1"/>
  <c r="J58" i="6"/>
  <c r="L44" i="6"/>
  <c r="J34" i="6"/>
  <c r="G48" i="6"/>
  <c r="H87" i="6"/>
  <c r="H76" i="6"/>
  <c r="J123" i="6"/>
  <c r="J112" i="6"/>
  <c r="H98" i="6"/>
  <c r="J134" i="6"/>
  <c r="E77" i="4"/>
  <c r="G56" i="6"/>
  <c r="J42" i="6"/>
  <c r="K21" i="4"/>
  <c r="L21" i="4" s="1"/>
  <c r="K11" i="4"/>
  <c r="L11" i="4" s="1"/>
  <c r="D74" i="4"/>
  <c r="K59" i="4"/>
  <c r="L59" i="4" s="1"/>
  <c r="K64" i="4"/>
  <c r="L64" i="4" s="1"/>
  <c r="J55" i="6"/>
  <c r="L41" i="6"/>
  <c r="K6" i="4"/>
  <c r="L6" i="4" s="1"/>
  <c r="D69" i="4"/>
  <c r="K55" i="6"/>
  <c r="M41" i="6"/>
  <c r="K44" i="6"/>
  <c r="I108" i="6"/>
  <c r="I130" i="6"/>
  <c r="I119" i="6"/>
  <c r="J94" i="6"/>
  <c r="J72" i="6"/>
  <c r="J83" i="6"/>
  <c r="J23" i="8"/>
  <c r="K23" i="8" s="1"/>
  <c r="J21" i="8"/>
  <c r="K21" i="8" s="1"/>
  <c r="C30" i="8"/>
  <c r="J25" i="8"/>
  <c r="K25" i="8" s="1"/>
  <c r="J22" i="8"/>
  <c r="K22" i="8" s="1"/>
  <c r="J24" i="8"/>
  <c r="K24" i="8" s="1"/>
  <c r="H85" i="6"/>
  <c r="J110" i="6"/>
  <c r="J132" i="6"/>
  <c r="J121" i="6"/>
  <c r="H74" i="6"/>
  <c r="H96" i="6"/>
  <c r="K48" i="6"/>
  <c r="M34" i="6"/>
  <c r="K34" i="4"/>
  <c r="L34" i="4" s="1"/>
  <c r="D75" i="4"/>
  <c r="K18" i="4"/>
  <c r="L18" i="4" s="1"/>
  <c r="K39" i="4"/>
  <c r="L39" i="4" s="1"/>
  <c r="D73" i="4"/>
  <c r="L36" i="6"/>
  <c r="J50" i="6"/>
  <c r="K40" i="6"/>
  <c r="L43" i="6"/>
  <c r="J57" i="6"/>
  <c r="J44" i="6"/>
  <c r="G58" i="6"/>
  <c r="K28" i="4"/>
  <c r="L28" i="4" s="1"/>
  <c r="E69" i="4"/>
  <c r="F76" i="4"/>
  <c r="H50" i="6"/>
  <c r="K36" i="6"/>
  <c r="K41" i="6"/>
  <c r="K50" i="6"/>
  <c r="M36" i="6"/>
  <c r="K43" i="6"/>
  <c r="H57" i="6"/>
  <c r="H49" i="6"/>
  <c r="K35" i="6"/>
  <c r="F69" i="4"/>
  <c r="E76" i="4"/>
  <c r="N37" i="6" l="1"/>
  <c r="E51" i="6" s="1"/>
  <c r="J129" i="6"/>
  <c r="H82" i="6"/>
  <c r="G132" i="6"/>
  <c r="H93" i="6"/>
  <c r="H71" i="6"/>
  <c r="J107" i="6"/>
  <c r="H131" i="6"/>
  <c r="I80" i="6"/>
  <c r="H120" i="6"/>
  <c r="I91" i="6"/>
  <c r="F116" i="6"/>
  <c r="G95" i="6"/>
  <c r="J95" i="6"/>
  <c r="J73" i="6"/>
  <c r="I120" i="6"/>
  <c r="G84" i="6"/>
  <c r="G73" i="6"/>
  <c r="G110" i="6"/>
  <c r="J84" i="6"/>
  <c r="G85" i="6"/>
  <c r="H132" i="6"/>
  <c r="I109" i="6"/>
  <c r="H119" i="6"/>
  <c r="G96" i="6"/>
  <c r="H121" i="6"/>
  <c r="H110" i="6"/>
  <c r="H107" i="6"/>
  <c r="H118" i="6"/>
  <c r="H129" i="6"/>
  <c r="N39" i="6"/>
  <c r="E53" i="6" s="1"/>
  <c r="G93" i="6"/>
  <c r="G71" i="6"/>
  <c r="F105" i="6"/>
  <c r="I69" i="6"/>
  <c r="H108" i="6"/>
  <c r="G94" i="6"/>
  <c r="F109" i="6"/>
  <c r="F131" i="6"/>
  <c r="G83" i="6"/>
  <c r="H130" i="6"/>
  <c r="I84" i="6"/>
  <c r="I73" i="6"/>
  <c r="I95" i="6"/>
  <c r="G131" i="6"/>
  <c r="G120" i="6"/>
  <c r="G73" i="4"/>
  <c r="H115" i="6"/>
  <c r="H104" i="6"/>
  <c r="G126" i="6"/>
  <c r="G104" i="6"/>
  <c r="D25" i="6"/>
  <c r="E25" i="6" s="1"/>
  <c r="O39" i="6" s="1"/>
  <c r="J109" i="6"/>
  <c r="H84" i="6"/>
  <c r="H73" i="6"/>
  <c r="J120" i="6"/>
  <c r="J131" i="6"/>
  <c r="G119" i="6"/>
  <c r="G130" i="6"/>
  <c r="G70" i="6"/>
  <c r="G76" i="6"/>
  <c r="I71" i="6"/>
  <c r="H117" i="6"/>
  <c r="G87" i="6"/>
  <c r="F129" i="6"/>
  <c r="N44" i="6"/>
  <c r="E58" i="6" s="1"/>
  <c r="H123" i="6"/>
  <c r="F107" i="6"/>
  <c r="I82" i="6"/>
  <c r="I93" i="6"/>
  <c r="G75" i="6"/>
  <c r="H106" i="6"/>
  <c r="G91" i="6"/>
  <c r="K76" i="4"/>
  <c r="G69" i="6"/>
  <c r="H122" i="6"/>
  <c r="G90" i="6"/>
  <c r="H112" i="6"/>
  <c r="H134" i="6"/>
  <c r="G68" i="6"/>
  <c r="G92" i="6"/>
  <c r="H126" i="6"/>
  <c r="H128" i="6"/>
  <c r="G75" i="4"/>
  <c r="J69" i="4"/>
  <c r="M25" i="4"/>
  <c r="M56" i="4"/>
  <c r="K71" i="4"/>
  <c r="G97" i="6"/>
  <c r="N35" i="6"/>
  <c r="E49" i="6" s="1"/>
  <c r="G80" i="6"/>
  <c r="H133" i="6"/>
  <c r="H116" i="6"/>
  <c r="H105" i="6"/>
  <c r="N42" i="6"/>
  <c r="E56" i="6" s="1"/>
  <c r="N34" i="6"/>
  <c r="E48" i="6" s="1"/>
  <c r="I69" i="4"/>
  <c r="K75" i="4"/>
  <c r="M37" i="4"/>
  <c r="M63" i="4"/>
  <c r="K78" i="4"/>
  <c r="G86" i="6"/>
  <c r="N43" i="4"/>
  <c r="O43" i="4" s="1"/>
  <c r="N20" i="4"/>
  <c r="O20" i="4" s="1"/>
  <c r="N18" i="4"/>
  <c r="O18" i="4" s="1"/>
  <c r="M18" i="4"/>
  <c r="J115" i="6"/>
  <c r="H90" i="6"/>
  <c r="H79" i="6"/>
  <c r="J104" i="6"/>
  <c r="J126" i="6"/>
  <c r="H68" i="6"/>
  <c r="G7" i="8"/>
  <c r="E30" i="8"/>
  <c r="N51" i="4"/>
  <c r="O51" i="4" s="1"/>
  <c r="N64" i="4"/>
  <c r="O64" i="4" s="1"/>
  <c r="M64" i="4"/>
  <c r="M9" i="4"/>
  <c r="I68" i="6"/>
  <c r="F115" i="6"/>
  <c r="I90" i="6"/>
  <c r="F126" i="6"/>
  <c r="F104" i="6"/>
  <c r="I79" i="6"/>
  <c r="M32" i="4"/>
  <c r="M41" i="4"/>
  <c r="I121" i="6"/>
  <c r="I110" i="6"/>
  <c r="I132" i="6"/>
  <c r="J74" i="6"/>
  <c r="J85" i="6"/>
  <c r="J96" i="6"/>
  <c r="M19" i="4"/>
  <c r="J70" i="4"/>
  <c r="AI8" i="10"/>
  <c r="M7" i="4"/>
  <c r="N7" i="4"/>
  <c r="O7" i="4" s="1"/>
  <c r="D20" i="6"/>
  <c r="G70" i="4"/>
  <c r="F133" i="6"/>
  <c r="I97" i="6"/>
  <c r="I86" i="6"/>
  <c r="F111" i="6"/>
  <c r="I75" i="6"/>
  <c r="F122" i="6"/>
  <c r="M23" i="4"/>
  <c r="N23" i="4"/>
  <c r="O23" i="4" s="1"/>
  <c r="M38" i="4"/>
  <c r="G105" i="6"/>
  <c r="G116" i="6"/>
  <c r="G127" i="6"/>
  <c r="C10" i="5"/>
  <c r="I113" i="6"/>
  <c r="I124" i="6"/>
  <c r="J77" i="6"/>
  <c r="I135" i="6"/>
  <c r="J99" i="6"/>
  <c r="J88" i="6"/>
  <c r="I79" i="4"/>
  <c r="M51" i="4"/>
  <c r="N9" i="4"/>
  <c r="O9" i="4" s="1"/>
  <c r="N32" i="4"/>
  <c r="O32" i="4" s="1"/>
  <c r="I77" i="4"/>
  <c r="N19" i="4"/>
  <c r="O19" i="4" s="1"/>
  <c r="I72" i="4"/>
  <c r="J78" i="4"/>
  <c r="N17" i="4"/>
  <c r="O17" i="4" s="1"/>
  <c r="J108" i="6"/>
  <c r="J119" i="6"/>
  <c r="H94" i="6"/>
  <c r="H83" i="6"/>
  <c r="H72" i="6"/>
  <c r="J130" i="6"/>
  <c r="N41" i="6"/>
  <c r="E55" i="6" s="1"/>
  <c r="I71" i="4"/>
  <c r="H135" i="6"/>
  <c r="H113" i="6"/>
  <c r="G88" i="6"/>
  <c r="G77" i="6"/>
  <c r="H124" i="6"/>
  <c r="G99" i="6"/>
  <c r="M57" i="4"/>
  <c r="N28" i="4"/>
  <c r="O28" i="4" s="1"/>
  <c r="M28" i="4"/>
  <c r="M50" i="4"/>
  <c r="M24" i="4"/>
  <c r="J75" i="4"/>
  <c r="M21" i="4"/>
  <c r="N21" i="4"/>
  <c r="O21" i="4" s="1"/>
  <c r="N53" i="4"/>
  <c r="O53" i="4" s="1"/>
  <c r="M53" i="4"/>
  <c r="D29" i="6"/>
  <c r="G77" i="4"/>
  <c r="J135" i="6"/>
  <c r="J124" i="6"/>
  <c r="H88" i="6"/>
  <c r="H77" i="6"/>
  <c r="H99" i="6"/>
  <c r="J113" i="6"/>
  <c r="M31" i="4"/>
  <c r="N31" i="4"/>
  <c r="O31" i="4" s="1"/>
  <c r="J73" i="4"/>
  <c r="M17" i="4"/>
  <c r="AI9" i="10"/>
  <c r="N8" i="4"/>
  <c r="O8" i="4" s="1"/>
  <c r="M8" i="4"/>
  <c r="G71" i="4"/>
  <c r="D24" i="6"/>
  <c r="N57" i="4"/>
  <c r="O57" i="4" s="1"/>
  <c r="N50" i="4"/>
  <c r="O50" i="4" s="1"/>
  <c r="N24" i="4"/>
  <c r="O24" i="4" s="1"/>
  <c r="M22" i="4"/>
  <c r="M12" i="4"/>
  <c r="J77" i="4"/>
  <c r="J100" i="6"/>
  <c r="I136" i="6"/>
  <c r="I114" i="6"/>
  <c r="J78" i="6"/>
  <c r="I125" i="6"/>
  <c r="J89" i="6"/>
  <c r="N54" i="4"/>
  <c r="O54" i="4" s="1"/>
  <c r="M54" i="4"/>
  <c r="H114" i="6"/>
  <c r="G100" i="6"/>
  <c r="H136" i="6"/>
  <c r="G89" i="6"/>
  <c r="H125" i="6"/>
  <c r="G78" i="6"/>
  <c r="M33" i="4"/>
  <c r="J136" i="6"/>
  <c r="J114" i="6"/>
  <c r="J125" i="6"/>
  <c r="H89" i="6"/>
  <c r="H100" i="6"/>
  <c r="H78" i="6"/>
  <c r="I116" i="6"/>
  <c r="J91" i="6"/>
  <c r="J80" i="6"/>
  <c r="J69" i="6"/>
  <c r="I127" i="6"/>
  <c r="I105" i="6"/>
  <c r="N37" i="4"/>
  <c r="O37" i="4" s="1"/>
  <c r="D23" i="6"/>
  <c r="I128" i="6"/>
  <c r="I117" i="6"/>
  <c r="J81" i="6"/>
  <c r="J70" i="6"/>
  <c r="J92" i="6"/>
  <c r="I106" i="6"/>
  <c r="N22" i="4"/>
  <c r="O22" i="4" s="1"/>
  <c r="N12" i="4"/>
  <c r="O12" i="4" s="1"/>
  <c r="N63" i="4"/>
  <c r="O63" i="4" s="1"/>
  <c r="J79" i="4"/>
  <c r="I123" i="6"/>
  <c r="I112" i="6"/>
  <c r="J87" i="6"/>
  <c r="J76" i="6"/>
  <c r="J98" i="6"/>
  <c r="I134" i="6"/>
  <c r="N49" i="4"/>
  <c r="O49" i="4" s="1"/>
  <c r="M49" i="4"/>
  <c r="N29" i="4"/>
  <c r="O29" i="4" s="1"/>
  <c r="M29" i="4"/>
  <c r="N33" i="4"/>
  <c r="O33" i="4" s="1"/>
  <c r="Q21" i="8"/>
  <c r="S21" i="8" s="1"/>
  <c r="Q22" i="8"/>
  <c r="S22" i="8" s="1"/>
  <c r="Q25" i="8"/>
  <c r="S25" i="8" s="1"/>
  <c r="Q24" i="8"/>
  <c r="S24" i="8" s="1"/>
  <c r="D33" i="8" s="1"/>
  <c r="Q23" i="8"/>
  <c r="S23" i="8" s="1"/>
  <c r="C33" i="8"/>
  <c r="N36" i="4"/>
  <c r="O36" i="4" s="1"/>
  <c r="G124" i="6"/>
  <c r="G135" i="6"/>
  <c r="G113" i="6"/>
  <c r="G117" i="6"/>
  <c r="G106" i="6"/>
  <c r="G128" i="6"/>
  <c r="J122" i="6"/>
  <c r="H75" i="6"/>
  <c r="J111" i="6"/>
  <c r="J133" i="6"/>
  <c r="H86" i="6"/>
  <c r="H97" i="6"/>
  <c r="N56" i="4"/>
  <c r="O56" i="4" s="1"/>
  <c r="J74" i="4"/>
  <c r="J72" i="4"/>
  <c r="I78" i="4"/>
  <c r="M60" i="4"/>
  <c r="J127" i="6"/>
  <c r="J116" i="6"/>
  <c r="J105" i="6"/>
  <c r="H69" i="6"/>
  <c r="H80" i="6"/>
  <c r="H91" i="6"/>
  <c r="M36" i="4"/>
  <c r="I76" i="4"/>
  <c r="M10" i="4"/>
  <c r="N59" i="4"/>
  <c r="O59" i="4" s="1"/>
  <c r="M59" i="4"/>
  <c r="G79" i="4"/>
  <c r="D30" i="6"/>
  <c r="N16" i="4"/>
  <c r="O16" i="4" s="1"/>
  <c r="M16" i="4"/>
  <c r="N61" i="4"/>
  <c r="O61" i="4" s="1"/>
  <c r="N44" i="4"/>
  <c r="O44" i="4" s="1"/>
  <c r="M44" i="4"/>
  <c r="D27" i="6"/>
  <c r="G78" i="4"/>
  <c r="N60" i="4"/>
  <c r="O60" i="4" s="1"/>
  <c r="M26" i="4"/>
  <c r="M14" i="4"/>
  <c r="N43" i="6"/>
  <c r="E57" i="6" s="1"/>
  <c r="AI14" i="10"/>
  <c r="M13" i="4"/>
  <c r="N13" i="4"/>
  <c r="O13" i="4" s="1"/>
  <c r="D28" i="6"/>
  <c r="G76" i="4"/>
  <c r="N10" i="4"/>
  <c r="O10" i="4" s="1"/>
  <c r="J76" i="4"/>
  <c r="N25" i="4"/>
  <c r="O25" i="4" s="1"/>
  <c r="I75" i="4"/>
  <c r="C12" i="12"/>
  <c r="D12" i="12" s="1"/>
  <c r="AI7" i="10"/>
  <c r="C11" i="12"/>
  <c r="D11" i="12" s="1"/>
  <c r="N6" i="4"/>
  <c r="O6" i="4" s="1"/>
  <c r="M6" i="4"/>
  <c r="G69" i="4"/>
  <c r="C7" i="5"/>
  <c r="D22" i="6"/>
  <c r="N42" i="4"/>
  <c r="O42" i="4" s="1"/>
  <c r="N48" i="4"/>
  <c r="O48" i="4" s="1"/>
  <c r="M62" i="4"/>
  <c r="N30" i="4"/>
  <c r="O30" i="4" s="1"/>
  <c r="N35" i="4"/>
  <c r="O35" i="4" s="1"/>
  <c r="N65" i="4"/>
  <c r="O65" i="4" s="1"/>
  <c r="M48" i="4"/>
  <c r="N62" i="4"/>
  <c r="O62" i="4" s="1"/>
  <c r="N52" i="4"/>
  <c r="O52" i="4" s="1"/>
  <c r="M30" i="4"/>
  <c r="M35" i="4"/>
  <c r="M65" i="4"/>
  <c r="N45" i="4"/>
  <c r="O45" i="4" s="1"/>
  <c r="M52" i="4"/>
  <c r="M27" i="4"/>
  <c r="M45" i="4"/>
  <c r="N27" i="4"/>
  <c r="O27" i="4" s="1"/>
  <c r="N15" i="4"/>
  <c r="O15" i="4" s="1"/>
  <c r="N58" i="4"/>
  <c r="O58" i="4" s="1"/>
  <c r="M15" i="4"/>
  <c r="M46" i="4"/>
  <c r="M58" i="4"/>
  <c r="N46" i="4"/>
  <c r="O46" i="4" s="1"/>
  <c r="N40" i="4"/>
  <c r="O40" i="4" s="1"/>
  <c r="M42" i="4"/>
  <c r="M40" i="4"/>
  <c r="I74" i="4"/>
  <c r="F134" i="6"/>
  <c r="F123" i="6"/>
  <c r="I87" i="6"/>
  <c r="I76" i="6"/>
  <c r="I98" i="6"/>
  <c r="F112" i="6"/>
  <c r="N36" i="6"/>
  <c r="E50" i="6" s="1"/>
  <c r="M61" i="4"/>
  <c r="N26" i="4"/>
  <c r="O26" i="4" s="1"/>
  <c r="M47" i="4"/>
  <c r="N14" i="4"/>
  <c r="O14" i="4" s="1"/>
  <c r="F124" i="6"/>
  <c r="I88" i="6"/>
  <c r="F135" i="6"/>
  <c r="F113" i="6"/>
  <c r="I77" i="6"/>
  <c r="I99" i="6"/>
  <c r="N38" i="6"/>
  <c r="E52" i="6" s="1"/>
  <c r="K69" i="4"/>
  <c r="J117" i="6"/>
  <c r="J128" i="6"/>
  <c r="H81" i="6"/>
  <c r="H70" i="6"/>
  <c r="J106" i="6"/>
  <c r="H92" i="6"/>
  <c r="I73" i="4"/>
  <c r="N34" i="4"/>
  <c r="O34" i="4" s="1"/>
  <c r="M34" i="4"/>
  <c r="C9" i="5"/>
  <c r="AI12" i="10"/>
  <c r="M11" i="4"/>
  <c r="D26" i="6"/>
  <c r="N11" i="4"/>
  <c r="O11" i="4" s="1"/>
  <c r="G74" i="4"/>
  <c r="G72" i="4"/>
  <c r="F106" i="6"/>
  <c r="I81" i="6"/>
  <c r="I70" i="6"/>
  <c r="F128" i="6"/>
  <c r="I92" i="6"/>
  <c r="F117" i="6"/>
  <c r="K70" i="4"/>
  <c r="K79" i="4"/>
  <c r="F121" i="6"/>
  <c r="I85" i="6"/>
  <c r="I96" i="6"/>
  <c r="I74" i="6"/>
  <c r="F132" i="6"/>
  <c r="F110" i="6"/>
  <c r="J71" i="4"/>
  <c r="N47" i="4"/>
  <c r="O47" i="4" s="1"/>
  <c r="M55" i="4"/>
  <c r="G123" i="6"/>
  <c r="G134" i="6"/>
  <c r="G112" i="6"/>
  <c r="F130" i="6"/>
  <c r="F119" i="6"/>
  <c r="I72" i="6"/>
  <c r="I94" i="6"/>
  <c r="F108" i="6"/>
  <c r="I83" i="6"/>
  <c r="K73" i="4"/>
  <c r="C11" i="5"/>
  <c r="M43" i="4"/>
  <c r="I100" i="6"/>
  <c r="I78" i="6"/>
  <c r="F114" i="6"/>
  <c r="F125" i="6"/>
  <c r="I89" i="6"/>
  <c r="F136" i="6"/>
  <c r="M20" i="4"/>
  <c r="N39" i="4"/>
  <c r="O39" i="4" s="1"/>
  <c r="M39" i="4"/>
  <c r="K74" i="4"/>
  <c r="I122" i="6"/>
  <c r="I133" i="6"/>
  <c r="J86" i="6"/>
  <c r="J75" i="6"/>
  <c r="I111" i="6"/>
  <c r="J97" i="6"/>
  <c r="D21" i="6"/>
  <c r="N41" i="4"/>
  <c r="O41" i="4" s="1"/>
  <c r="N40" i="6"/>
  <c r="E54" i="6" s="1"/>
  <c r="I70" i="4"/>
  <c r="N55" i="4"/>
  <c r="O55" i="4" s="1"/>
  <c r="N38" i="4"/>
  <c r="O38" i="4" s="1"/>
  <c r="K72" i="4"/>
  <c r="K77" i="4"/>
  <c r="Z12" i="10" l="1"/>
  <c r="F25" i="6"/>
  <c r="C53" i="6" s="1"/>
  <c r="D84" i="6" s="1"/>
  <c r="L69" i="4"/>
  <c r="Z13" i="10"/>
  <c r="F26" i="6"/>
  <c r="C54" i="6" s="1"/>
  <c r="E26" i="6"/>
  <c r="O40" i="6" s="1"/>
  <c r="P39" i="6"/>
  <c r="C57" i="10"/>
  <c r="D57" i="10" s="1"/>
  <c r="AQ8" i="10"/>
  <c r="D10" i="5"/>
  <c r="Z9" i="10"/>
  <c r="E22" i="6"/>
  <c r="O36" i="6" s="1"/>
  <c r="F22" i="6"/>
  <c r="C50" i="6" s="1"/>
  <c r="Z10" i="10"/>
  <c r="F23" i="6"/>
  <c r="C51" i="6" s="1"/>
  <c r="E23" i="6"/>
  <c r="O37" i="6" s="1"/>
  <c r="C12" i="8"/>
  <c r="C12" i="5"/>
  <c r="D12" i="5" s="1"/>
  <c r="N6" i="10" s="1"/>
  <c r="D7" i="5"/>
  <c r="F6" i="10" s="1"/>
  <c r="C8" i="5"/>
  <c r="L78" i="4"/>
  <c r="Z17" i="10"/>
  <c r="E30" i="6"/>
  <c r="O44" i="6" s="1"/>
  <c r="F30" i="6"/>
  <c r="C58" i="6" s="1"/>
  <c r="L77" i="4"/>
  <c r="AQ7" i="10"/>
  <c r="C56" i="10"/>
  <c r="D56" i="10" s="1"/>
  <c r="D9" i="5"/>
  <c r="L76" i="4"/>
  <c r="Z14" i="10"/>
  <c r="F27" i="6"/>
  <c r="C55" i="6" s="1"/>
  <c r="E27" i="6"/>
  <c r="O41" i="6" s="1"/>
  <c r="L79" i="4"/>
  <c r="Z16" i="10"/>
  <c r="E29" i="6"/>
  <c r="O43" i="6" s="1"/>
  <c r="F29" i="6"/>
  <c r="C57" i="6" s="1"/>
  <c r="Z15" i="10"/>
  <c r="F28" i="6"/>
  <c r="C56" i="6" s="1"/>
  <c r="E28" i="6"/>
  <c r="O42" i="6" s="1"/>
  <c r="L70" i="4"/>
  <c r="C13" i="12"/>
  <c r="D13" i="12" s="1"/>
  <c r="Z7" i="10"/>
  <c r="E20" i="6"/>
  <c r="O34" i="6" s="1"/>
  <c r="F20" i="6"/>
  <c r="C48" i="6" s="1"/>
  <c r="C58" i="10"/>
  <c r="D58" i="10" s="1"/>
  <c r="AQ9" i="10"/>
  <c r="D11" i="5"/>
  <c r="E33" i="8"/>
  <c r="BB7" i="10"/>
  <c r="K7" i="8"/>
  <c r="Z8" i="10"/>
  <c r="F21" i="6"/>
  <c r="C49" i="6" s="1"/>
  <c r="E21" i="6"/>
  <c r="O35" i="6" s="1"/>
  <c r="L72" i="4"/>
  <c r="Z11" i="10"/>
  <c r="F24" i="6"/>
  <c r="C52" i="6" s="1"/>
  <c r="E24" i="6"/>
  <c r="O38" i="6" s="1"/>
  <c r="L74" i="4"/>
  <c r="L71" i="4"/>
  <c r="L75" i="4"/>
  <c r="L73" i="4"/>
  <c r="D167" i="6" l="1"/>
  <c r="J167" i="6" s="1"/>
  <c r="D95" i="6"/>
  <c r="D145" i="6"/>
  <c r="J145" i="6" s="1"/>
  <c r="D73" i="6"/>
  <c r="D131" i="6"/>
  <c r="D120" i="6"/>
  <c r="D156" i="6"/>
  <c r="J156" i="6" s="1"/>
  <c r="D109" i="6"/>
  <c r="D162" i="6"/>
  <c r="D140" i="6"/>
  <c r="D126" i="6"/>
  <c r="D90" i="6"/>
  <c r="D79" i="6"/>
  <c r="D115" i="6"/>
  <c r="D68" i="6"/>
  <c r="D151" i="6"/>
  <c r="D104" i="6"/>
  <c r="C13" i="8"/>
  <c r="D8" i="5"/>
  <c r="J6" i="10" s="1"/>
  <c r="D164" i="6"/>
  <c r="D142" i="6"/>
  <c r="D106" i="6"/>
  <c r="D153" i="6"/>
  <c r="D117" i="6"/>
  <c r="D92" i="6"/>
  <c r="D81" i="6"/>
  <c r="D70" i="6"/>
  <c r="D128" i="6"/>
  <c r="P34" i="6"/>
  <c r="Q34" i="6" s="1"/>
  <c r="D171" i="6"/>
  <c r="D149" i="6"/>
  <c r="D160" i="6"/>
  <c r="D135" i="6"/>
  <c r="D113" i="6"/>
  <c r="D99" i="6"/>
  <c r="D88" i="6"/>
  <c r="D77" i="6"/>
  <c r="D124" i="6"/>
  <c r="P36" i="6"/>
  <c r="P43" i="6"/>
  <c r="P38" i="6"/>
  <c r="Q38" i="6" s="1"/>
  <c r="L24" i="8"/>
  <c r="M24" i="8" s="1"/>
  <c r="C31" i="8"/>
  <c r="L22" i="8"/>
  <c r="M22" i="8" s="1"/>
  <c r="O22" i="8" s="1"/>
  <c r="L25" i="8"/>
  <c r="M25" i="8" s="1"/>
  <c r="O25" i="8" s="1"/>
  <c r="L23" i="8"/>
  <c r="M23" i="8" s="1"/>
  <c r="O23" i="8" s="1"/>
  <c r="L21" i="8"/>
  <c r="M21" i="8" s="1"/>
  <c r="O21" i="8" s="1"/>
  <c r="D166" i="6"/>
  <c r="D108" i="6"/>
  <c r="D83" i="6"/>
  <c r="D130" i="6"/>
  <c r="D144" i="6"/>
  <c r="D119" i="6"/>
  <c r="D72" i="6"/>
  <c r="D155" i="6"/>
  <c r="D94" i="6"/>
  <c r="P42" i="6"/>
  <c r="P41" i="6"/>
  <c r="D134" i="6"/>
  <c r="D170" i="6"/>
  <c r="D148" i="6"/>
  <c r="D112" i="6"/>
  <c r="D123" i="6"/>
  <c r="D98" i="6"/>
  <c r="D76" i="6"/>
  <c r="D159" i="6"/>
  <c r="D87" i="6"/>
  <c r="D147" i="6"/>
  <c r="D133" i="6"/>
  <c r="D169" i="6"/>
  <c r="D97" i="6"/>
  <c r="D122" i="6"/>
  <c r="D111" i="6"/>
  <c r="D75" i="6"/>
  <c r="D158" i="6"/>
  <c r="D86" i="6"/>
  <c r="D161" i="6"/>
  <c r="D125" i="6"/>
  <c r="D150" i="6"/>
  <c r="D172" i="6"/>
  <c r="D89" i="6"/>
  <c r="D78" i="6"/>
  <c r="D114" i="6"/>
  <c r="D100" i="6"/>
  <c r="D136" i="6"/>
  <c r="I41" i="7"/>
  <c r="J41" i="7" s="1"/>
  <c r="O41" i="7" s="1"/>
  <c r="I19" i="7"/>
  <c r="J19" i="7" s="1"/>
  <c r="O19" i="7" s="1"/>
  <c r="I43" i="7"/>
  <c r="J43" i="7" s="1"/>
  <c r="O43" i="7" s="1"/>
  <c r="I44" i="7"/>
  <c r="J44" i="7" s="1"/>
  <c r="O44" i="7" s="1"/>
  <c r="I42" i="7"/>
  <c r="J42" i="7" s="1"/>
  <c r="O42" i="7" s="1"/>
  <c r="P35" i="6"/>
  <c r="Q35" i="6" s="1"/>
  <c r="P44" i="6"/>
  <c r="Q44" i="6" s="1"/>
  <c r="P37" i="6"/>
  <c r="Q37" i="6" s="1"/>
  <c r="Q39" i="6"/>
  <c r="D152" i="6"/>
  <c r="D163" i="6"/>
  <c r="D141" i="6"/>
  <c r="D105" i="6"/>
  <c r="D127" i="6"/>
  <c r="D80" i="6"/>
  <c r="D91" i="6"/>
  <c r="D69" i="6"/>
  <c r="D116" i="6"/>
  <c r="D129" i="6"/>
  <c r="D165" i="6"/>
  <c r="D93" i="6"/>
  <c r="D154" i="6"/>
  <c r="D118" i="6"/>
  <c r="D143" i="6"/>
  <c r="D71" i="6"/>
  <c r="D107" i="6"/>
  <c r="D82" i="6"/>
  <c r="P40" i="6"/>
  <c r="D168" i="6"/>
  <c r="D132" i="6"/>
  <c r="D146" i="6"/>
  <c r="D157" i="6"/>
  <c r="D96" i="6"/>
  <c r="D85" i="6"/>
  <c r="D74" i="6"/>
  <c r="D121" i="6"/>
  <c r="D110" i="6"/>
  <c r="R44" i="6" l="1"/>
  <c r="D58" i="6"/>
  <c r="D48" i="6"/>
  <c r="R34" i="6"/>
  <c r="I58" i="7"/>
  <c r="J58" i="7" s="1"/>
  <c r="O58" i="7" s="1"/>
  <c r="I20" i="7"/>
  <c r="J20" i="7" s="1"/>
  <c r="O20" i="7" s="1"/>
  <c r="I57" i="7"/>
  <c r="J57" i="7" s="1"/>
  <c r="O57" i="7" s="1"/>
  <c r="I56" i="7"/>
  <c r="J56" i="7" s="1"/>
  <c r="O56" i="7" s="1"/>
  <c r="I59" i="7"/>
  <c r="J59" i="7" s="1"/>
  <c r="O59" i="7" s="1"/>
  <c r="N25" i="8"/>
  <c r="P25" i="8" s="1"/>
  <c r="N23" i="8"/>
  <c r="P23" i="8" s="1"/>
  <c r="N21" i="8"/>
  <c r="P21" i="8" s="1"/>
  <c r="N24" i="8"/>
  <c r="C32" i="8"/>
  <c r="N22" i="8"/>
  <c r="P22" i="8" s="1"/>
  <c r="J168" i="6"/>
  <c r="I71" i="7"/>
  <c r="J71" i="7" s="1"/>
  <c r="O71" i="7" s="1"/>
  <c r="I69" i="7"/>
  <c r="J69" i="7" s="1"/>
  <c r="O69" i="7" s="1"/>
  <c r="I66" i="7"/>
  <c r="J66" i="7" s="1"/>
  <c r="O66" i="7" s="1"/>
  <c r="I65" i="7"/>
  <c r="J65" i="7" s="1"/>
  <c r="O65" i="7" s="1"/>
  <c r="I67" i="7"/>
  <c r="J67" i="7" s="1"/>
  <c r="O67" i="7" s="1"/>
  <c r="I70" i="7"/>
  <c r="J70" i="7" s="1"/>
  <c r="O70" i="7" s="1"/>
  <c r="I72" i="7"/>
  <c r="J72" i="7" s="1"/>
  <c r="O72" i="7" s="1"/>
  <c r="I68" i="7"/>
  <c r="J68" i="7" s="1"/>
  <c r="O68" i="7" s="1"/>
  <c r="O24" i="8"/>
  <c r="D32" i="8" s="1"/>
  <c r="H7" i="8"/>
  <c r="E31" i="8"/>
  <c r="J143" i="6"/>
  <c r="D49" i="6"/>
  <c r="R35" i="6"/>
  <c r="J155" i="6"/>
  <c r="D52" i="6"/>
  <c r="R38" i="6"/>
  <c r="J151" i="6"/>
  <c r="I38" i="7"/>
  <c r="J38" i="7" s="1"/>
  <c r="O38" i="7" s="1"/>
  <c r="I39" i="7"/>
  <c r="J39" i="7" s="1"/>
  <c r="O39" i="7" s="1"/>
  <c r="I40" i="7"/>
  <c r="J40" i="7" s="1"/>
  <c r="O40" i="7" s="1"/>
  <c r="I16" i="7"/>
  <c r="J16" i="7" s="1"/>
  <c r="O16" i="7" s="1"/>
  <c r="J148" i="6"/>
  <c r="I29" i="7"/>
  <c r="J29" i="7" s="1"/>
  <c r="O29" i="7" s="1"/>
  <c r="I15" i="7"/>
  <c r="J15" i="7" s="1"/>
  <c r="O15" i="7" s="1"/>
  <c r="I32" i="7"/>
  <c r="J32" i="7" s="1"/>
  <c r="O32" i="7" s="1"/>
  <c r="I28" i="7"/>
  <c r="J28" i="7" s="1"/>
  <c r="O28" i="7" s="1"/>
  <c r="I30" i="7"/>
  <c r="J30" i="7" s="1"/>
  <c r="O30" i="7" s="1"/>
  <c r="I33" i="7"/>
  <c r="J33" i="7" s="1"/>
  <c r="O33" i="7" s="1"/>
  <c r="I31" i="7"/>
  <c r="J31" i="7" s="1"/>
  <c r="O31" i="7" s="1"/>
  <c r="I21" i="7"/>
  <c r="J21" i="7" s="1"/>
  <c r="O21" i="7" s="1"/>
  <c r="K77" i="6"/>
  <c r="K72" i="6"/>
  <c r="K68" i="6"/>
  <c r="K70" i="6"/>
  <c r="K74" i="6"/>
  <c r="K69" i="6"/>
  <c r="K75" i="6"/>
  <c r="K73" i="6"/>
  <c r="K78" i="6"/>
  <c r="K71" i="6"/>
  <c r="K76" i="6"/>
  <c r="J154" i="6"/>
  <c r="J141" i="6"/>
  <c r="J172" i="6"/>
  <c r="J169" i="6"/>
  <c r="J170" i="6"/>
  <c r="J163" i="6"/>
  <c r="J150" i="6"/>
  <c r="J144" i="6"/>
  <c r="I64" i="7"/>
  <c r="J64" i="7" s="1"/>
  <c r="O64" i="7" s="1"/>
  <c r="I62" i="7"/>
  <c r="J62" i="7" s="1"/>
  <c r="O62" i="7" s="1"/>
  <c r="I61" i="7"/>
  <c r="J61" i="7" s="1"/>
  <c r="O61" i="7" s="1"/>
  <c r="I60" i="7"/>
  <c r="J60" i="7" s="1"/>
  <c r="O60" i="7" s="1"/>
  <c r="I63" i="7"/>
  <c r="J63" i="7" s="1"/>
  <c r="O63" i="7" s="1"/>
  <c r="I22" i="7"/>
  <c r="J22" i="7" s="1"/>
  <c r="O22" i="7" s="1"/>
  <c r="J160" i="6"/>
  <c r="J153" i="6"/>
  <c r="K88" i="6"/>
  <c r="K79" i="6"/>
  <c r="K83" i="6"/>
  <c r="K81" i="6"/>
  <c r="K87" i="6"/>
  <c r="K80" i="6"/>
  <c r="K86" i="6"/>
  <c r="K82" i="6"/>
  <c r="K89" i="6"/>
  <c r="K84" i="6"/>
  <c r="K85" i="6"/>
  <c r="J165" i="6"/>
  <c r="J152" i="6"/>
  <c r="J147" i="6"/>
  <c r="Q43" i="6"/>
  <c r="J149" i="6"/>
  <c r="K96" i="6"/>
  <c r="K90" i="6"/>
  <c r="K97" i="6"/>
  <c r="K94" i="6"/>
  <c r="K98" i="6"/>
  <c r="K99" i="6"/>
  <c r="K91" i="6"/>
  <c r="K92" i="6"/>
  <c r="K93" i="6"/>
  <c r="K100" i="6"/>
  <c r="K95" i="6"/>
  <c r="I49" i="7"/>
  <c r="J49" i="7" s="1"/>
  <c r="O49" i="7" s="1"/>
  <c r="I50" i="7"/>
  <c r="J50" i="7" s="1"/>
  <c r="O50" i="7" s="1"/>
  <c r="I48" i="7"/>
  <c r="J48" i="7" s="1"/>
  <c r="O48" i="7" s="1"/>
  <c r="I18" i="7"/>
  <c r="J18" i="7" s="1"/>
  <c r="O18" i="7" s="1"/>
  <c r="R39" i="6"/>
  <c r="D53" i="6"/>
  <c r="J161" i="6"/>
  <c r="I52" i="7"/>
  <c r="J52" i="7" s="1"/>
  <c r="O52" i="7" s="1"/>
  <c r="I53" i="7"/>
  <c r="J53" i="7" s="1"/>
  <c r="O53" i="7" s="1"/>
  <c r="I51" i="7"/>
  <c r="J51" i="7" s="1"/>
  <c r="O51" i="7" s="1"/>
  <c r="I55" i="7"/>
  <c r="J55" i="7" s="1"/>
  <c r="O55" i="7" s="1"/>
  <c r="I54" i="7"/>
  <c r="J54" i="7" s="1"/>
  <c r="O54" i="7" s="1"/>
  <c r="I13" i="7"/>
  <c r="J13" i="7" s="1"/>
  <c r="O13" i="7" s="1"/>
  <c r="I37" i="7"/>
  <c r="J37" i="7" s="1"/>
  <c r="O37" i="7" s="1"/>
  <c r="I36" i="7"/>
  <c r="J36" i="7" s="1"/>
  <c r="O36" i="7" s="1"/>
  <c r="I35" i="7"/>
  <c r="J35" i="7" s="1"/>
  <c r="O35" i="7" s="1"/>
  <c r="I34" i="7"/>
  <c r="J34" i="7" s="1"/>
  <c r="O34" i="7" s="1"/>
  <c r="J171" i="6"/>
  <c r="J142" i="6"/>
  <c r="J157" i="6"/>
  <c r="Q40" i="6"/>
  <c r="D51" i="6"/>
  <c r="R37" i="6"/>
  <c r="J159" i="6"/>
  <c r="Q41" i="6"/>
  <c r="Q36" i="6"/>
  <c r="J164" i="6"/>
  <c r="J140" i="6"/>
  <c r="J146" i="6"/>
  <c r="I47" i="7"/>
  <c r="J47" i="7" s="1"/>
  <c r="O47" i="7" s="1"/>
  <c r="I17" i="7"/>
  <c r="J17" i="7" s="1"/>
  <c r="O17" i="7" s="1"/>
  <c r="I45" i="7"/>
  <c r="J45" i="7" s="1"/>
  <c r="O45" i="7" s="1"/>
  <c r="I46" i="7"/>
  <c r="J46" i="7" s="1"/>
  <c r="O46" i="7" s="1"/>
  <c r="J158" i="6"/>
  <c r="Q42" i="6"/>
  <c r="J166" i="6"/>
  <c r="I14" i="7"/>
  <c r="J14" i="7" s="1"/>
  <c r="O14" i="7" s="1"/>
  <c r="I23" i="7"/>
  <c r="J23" i="7" s="1"/>
  <c r="O23" i="7" s="1"/>
  <c r="I27" i="7"/>
  <c r="J27" i="7" s="1"/>
  <c r="O27" i="7" s="1"/>
  <c r="I24" i="7"/>
  <c r="J24" i="7" s="1"/>
  <c r="O24" i="7" s="1"/>
  <c r="I26" i="7"/>
  <c r="J26" i="7" s="1"/>
  <c r="O26" i="7" s="1"/>
  <c r="I25" i="7"/>
  <c r="J25" i="7" s="1"/>
  <c r="O25" i="7" s="1"/>
  <c r="J162" i="6"/>
  <c r="D176" i="6" l="1"/>
  <c r="E182" i="6" s="1"/>
  <c r="L76" i="6"/>
  <c r="M76" i="6" s="1"/>
  <c r="L74" i="6"/>
  <c r="M74" i="6" s="1"/>
  <c r="L99" i="6"/>
  <c r="M99" i="6" s="1"/>
  <c r="L93" i="6"/>
  <c r="M93" i="6" s="1"/>
  <c r="L95" i="6"/>
  <c r="M95" i="6" s="1"/>
  <c r="L85" i="6"/>
  <c r="M85" i="6" s="1"/>
  <c r="L78" i="6"/>
  <c r="M78" i="6" s="1"/>
  <c r="L92" i="6"/>
  <c r="M92" i="6" s="1"/>
  <c r="AM8" i="10"/>
  <c r="S35" i="6"/>
  <c r="AN8" i="10" s="1"/>
  <c r="L83" i="6"/>
  <c r="M83" i="6" s="1"/>
  <c r="AM10" i="10"/>
  <c r="S37" i="6"/>
  <c r="AN10" i="10" s="1"/>
  <c r="L90" i="6"/>
  <c r="M90" i="6" s="1"/>
  <c r="L89" i="6"/>
  <c r="M89" i="6" s="1"/>
  <c r="L80" i="6"/>
  <c r="M80" i="6" s="1"/>
  <c r="L69" i="6"/>
  <c r="M69" i="6" s="1"/>
  <c r="P24" i="8"/>
  <c r="R60" i="10" s="1"/>
  <c r="E32" i="8"/>
  <c r="I7" i="8"/>
  <c r="BF7" i="10"/>
  <c r="R36" i="6"/>
  <c r="D50" i="6"/>
  <c r="L98" i="6"/>
  <c r="M98" i="6" s="1"/>
  <c r="D57" i="6"/>
  <c r="R43" i="6"/>
  <c r="L87" i="6"/>
  <c r="M87" i="6" s="1"/>
  <c r="L73" i="6"/>
  <c r="M73" i="6" s="1"/>
  <c r="L75" i="6"/>
  <c r="M75" i="6" s="1"/>
  <c r="AM11" i="10"/>
  <c r="S38" i="6"/>
  <c r="AN11" i="10" s="1"/>
  <c r="D54" i="6"/>
  <c r="R40" i="6"/>
  <c r="C16" i="12"/>
  <c r="D16" i="12" s="1"/>
  <c r="C15" i="12"/>
  <c r="D15" i="12" s="1"/>
  <c r="C14" i="12"/>
  <c r="D14" i="12" s="1"/>
  <c r="C18" i="5"/>
  <c r="C17" i="5"/>
  <c r="C16" i="5"/>
  <c r="L97" i="6"/>
  <c r="M97" i="6" s="1"/>
  <c r="L82" i="6"/>
  <c r="M82" i="6" s="1"/>
  <c r="L70" i="6"/>
  <c r="M70" i="6" s="1"/>
  <c r="L77" i="6"/>
  <c r="M77" i="6" s="1"/>
  <c r="L100" i="6"/>
  <c r="M100" i="6" s="1"/>
  <c r="L88" i="6"/>
  <c r="M88" i="6" s="1"/>
  <c r="L72" i="6"/>
  <c r="M72" i="6" s="1"/>
  <c r="R41" i="6"/>
  <c r="D55" i="6"/>
  <c r="L91" i="6"/>
  <c r="M91" i="6" s="1"/>
  <c r="L84" i="6"/>
  <c r="M84" i="6" s="1"/>
  <c r="L71" i="6"/>
  <c r="M71" i="6" s="1"/>
  <c r="D177" i="6"/>
  <c r="AM7" i="10"/>
  <c r="S34" i="6"/>
  <c r="AN7" i="10" s="1"/>
  <c r="L96" i="6"/>
  <c r="M96" i="6" s="1"/>
  <c r="L81" i="6"/>
  <c r="M81" i="6" s="1"/>
  <c r="D56" i="6"/>
  <c r="R42" i="6"/>
  <c r="D178" i="6"/>
  <c r="L86" i="6"/>
  <c r="M86" i="6" s="1"/>
  <c r="AM12" i="10"/>
  <c r="S39" i="6"/>
  <c r="AN12" i="10" s="1"/>
  <c r="L94" i="6"/>
  <c r="M94" i="6" s="1"/>
  <c r="L79" i="6"/>
  <c r="M79" i="6" s="1"/>
  <c r="L68" i="6"/>
  <c r="M68" i="6" s="1"/>
  <c r="AM17" i="10"/>
  <c r="S44" i="6"/>
  <c r="AN17" i="10" s="1"/>
  <c r="AD7" i="10" l="1"/>
  <c r="F55" i="6"/>
  <c r="M55" i="6" s="1"/>
  <c r="F51" i="6"/>
  <c r="E118" i="6" s="1"/>
  <c r="D18" i="12"/>
  <c r="I159" i="6"/>
  <c r="N87" i="6"/>
  <c r="I161" i="6"/>
  <c r="N89" i="6"/>
  <c r="I154" i="6"/>
  <c r="N82" i="6"/>
  <c r="I169" i="6"/>
  <c r="N97" i="6"/>
  <c r="I157" i="6"/>
  <c r="N85" i="6"/>
  <c r="I166" i="6"/>
  <c r="N94" i="6"/>
  <c r="I149" i="6"/>
  <c r="N77" i="6"/>
  <c r="I142" i="6"/>
  <c r="N70" i="6"/>
  <c r="I147" i="6"/>
  <c r="N75" i="6"/>
  <c r="I152" i="6"/>
  <c r="N80" i="6"/>
  <c r="I150" i="6"/>
  <c r="N78" i="6"/>
  <c r="I151" i="6"/>
  <c r="N79" i="6"/>
  <c r="I144" i="6"/>
  <c r="N72" i="6"/>
  <c r="I145" i="6"/>
  <c r="N73" i="6"/>
  <c r="I153" i="6"/>
  <c r="N81" i="6"/>
  <c r="I158" i="6"/>
  <c r="N86" i="6"/>
  <c r="AT7" i="10"/>
  <c r="C15" i="8"/>
  <c r="F56" i="10"/>
  <c r="G56" i="10" s="1"/>
  <c r="D16" i="5"/>
  <c r="I148" i="6"/>
  <c r="N76" i="6"/>
  <c r="I170" i="6"/>
  <c r="N98" i="6"/>
  <c r="I155" i="6"/>
  <c r="N83" i="6"/>
  <c r="I164" i="6"/>
  <c r="N92" i="6"/>
  <c r="I168" i="6"/>
  <c r="N96" i="6"/>
  <c r="I162" i="6"/>
  <c r="N90" i="6"/>
  <c r="F57" i="10"/>
  <c r="G57" i="10" s="1"/>
  <c r="AT8" i="10"/>
  <c r="C16" i="8"/>
  <c r="D17" i="5"/>
  <c r="F50" i="6"/>
  <c r="F53" i="6"/>
  <c r="I165" i="6"/>
  <c r="N93" i="6"/>
  <c r="I172" i="6"/>
  <c r="N100" i="6"/>
  <c r="I167" i="6"/>
  <c r="N95" i="6"/>
  <c r="F58" i="10"/>
  <c r="G58" i="10" s="1"/>
  <c r="AT9" i="10"/>
  <c r="C17" i="8"/>
  <c r="D18" i="5"/>
  <c r="R6" i="10" s="1"/>
  <c r="I143" i="6"/>
  <c r="N71" i="6"/>
  <c r="AM9" i="10"/>
  <c r="S36" i="6"/>
  <c r="AN9" i="10" s="1"/>
  <c r="I163" i="6"/>
  <c r="N91" i="6"/>
  <c r="E192" i="6"/>
  <c r="AF7" i="10"/>
  <c r="F52" i="6"/>
  <c r="I156" i="6"/>
  <c r="N84" i="6"/>
  <c r="AM15" i="10"/>
  <c r="S42" i="6"/>
  <c r="AN15" i="10" s="1"/>
  <c r="AM14" i="10"/>
  <c r="S41" i="6"/>
  <c r="AN14" i="10" s="1"/>
  <c r="I160" i="6"/>
  <c r="N88" i="6"/>
  <c r="F56" i="6"/>
  <c r="AE7" i="10"/>
  <c r="E187" i="6"/>
  <c r="I140" i="6"/>
  <c r="N68" i="6"/>
  <c r="F58" i="6"/>
  <c r="F48" i="6"/>
  <c r="AM13" i="10"/>
  <c r="S40" i="6"/>
  <c r="AN13" i="10" s="1"/>
  <c r="AM16" i="10"/>
  <c r="S43" i="6"/>
  <c r="AN16" i="10" s="1"/>
  <c r="J7" i="8"/>
  <c r="BA7" i="10"/>
  <c r="I141" i="6"/>
  <c r="N69" i="6"/>
  <c r="F54" i="6"/>
  <c r="F57" i="6"/>
  <c r="F49" i="6"/>
  <c r="I146" i="6"/>
  <c r="N74" i="6"/>
  <c r="I171" i="6"/>
  <c r="N99" i="6"/>
  <c r="E107" i="6" l="1"/>
  <c r="K107" i="6" s="1"/>
  <c r="L107" i="6" s="1"/>
  <c r="E111" i="6"/>
  <c r="M111" i="6" s="1"/>
  <c r="N111" i="6" s="1"/>
  <c r="E122" i="6"/>
  <c r="K122" i="6" s="1"/>
  <c r="L122" i="6" s="1"/>
  <c r="E133" i="6"/>
  <c r="K133" i="6" s="1"/>
  <c r="L133" i="6" s="1"/>
  <c r="M51" i="6"/>
  <c r="E129" i="6"/>
  <c r="M129" i="6" s="1"/>
  <c r="N129" i="6" s="1"/>
  <c r="E123" i="6"/>
  <c r="E112" i="6"/>
  <c r="E134" i="6"/>
  <c r="M56" i="6"/>
  <c r="G143" i="6"/>
  <c r="N143" i="6"/>
  <c r="G165" i="6"/>
  <c r="N165" i="6"/>
  <c r="G168" i="6"/>
  <c r="N168" i="6"/>
  <c r="G144" i="6"/>
  <c r="N144" i="6"/>
  <c r="G157" i="6"/>
  <c r="N157" i="6"/>
  <c r="G146" i="6"/>
  <c r="N146" i="6"/>
  <c r="E105" i="6"/>
  <c r="E127" i="6"/>
  <c r="E116" i="6"/>
  <c r="M49" i="6"/>
  <c r="G160" i="6"/>
  <c r="N160" i="6"/>
  <c r="E120" i="6"/>
  <c r="E131" i="6"/>
  <c r="E109" i="6"/>
  <c r="M53" i="6"/>
  <c r="C34" i="8"/>
  <c r="T22" i="8"/>
  <c r="W22" i="8" s="1"/>
  <c r="T23" i="8"/>
  <c r="W23" i="8" s="1"/>
  <c r="T21" i="8"/>
  <c r="W21" i="8" s="1"/>
  <c r="AA21" i="8" s="1"/>
  <c r="T24" i="8"/>
  <c r="W24" i="8" s="1"/>
  <c r="E34" i="8" s="1"/>
  <c r="T25" i="8"/>
  <c r="W25" i="8" s="1"/>
  <c r="AA25" i="8" s="1"/>
  <c r="O81" i="6"/>
  <c r="O86" i="6"/>
  <c r="O80" i="6"/>
  <c r="O89" i="6"/>
  <c r="O84" i="6"/>
  <c r="O85" i="6"/>
  <c r="O79" i="6"/>
  <c r="O82" i="6"/>
  <c r="O83" i="6"/>
  <c r="O88" i="6"/>
  <c r="O87" i="6"/>
  <c r="K118" i="6"/>
  <c r="L118" i="6" s="1"/>
  <c r="M118" i="6"/>
  <c r="N118" i="6" s="1"/>
  <c r="G151" i="6"/>
  <c r="N151" i="6"/>
  <c r="G169" i="6"/>
  <c r="N169" i="6"/>
  <c r="C36" i="8"/>
  <c r="V24" i="8"/>
  <c r="Y24" i="8" s="1"/>
  <c r="D36" i="8" s="1"/>
  <c r="V21" i="8"/>
  <c r="Y21" i="8" s="1"/>
  <c r="V22" i="8"/>
  <c r="Y22" i="8" s="1"/>
  <c r="V25" i="8"/>
  <c r="Y25" i="8" s="1"/>
  <c r="V23" i="8"/>
  <c r="Y23" i="8" s="1"/>
  <c r="AA23" i="8" s="1"/>
  <c r="E132" i="6"/>
  <c r="E110" i="6"/>
  <c r="E121" i="6"/>
  <c r="M54" i="6"/>
  <c r="E125" i="6"/>
  <c r="E114" i="6"/>
  <c r="E136" i="6"/>
  <c r="M58" i="6"/>
  <c r="C35" i="8"/>
  <c r="U21" i="8"/>
  <c r="X21" i="8" s="1"/>
  <c r="U24" i="8"/>
  <c r="X24" i="8" s="1"/>
  <c r="E35" i="8" s="1"/>
  <c r="U25" i="8"/>
  <c r="X25" i="8" s="1"/>
  <c r="U23" i="8"/>
  <c r="X23" i="8" s="1"/>
  <c r="U22" i="8"/>
  <c r="X22" i="8" s="1"/>
  <c r="AA22" i="8" s="1"/>
  <c r="G155" i="6"/>
  <c r="N155" i="6"/>
  <c r="G158" i="6"/>
  <c r="N158" i="6"/>
  <c r="G150" i="6"/>
  <c r="N150" i="6"/>
  <c r="G142" i="6"/>
  <c r="N142" i="6"/>
  <c r="G154" i="6"/>
  <c r="N154" i="6"/>
  <c r="E135" i="6"/>
  <c r="E113" i="6"/>
  <c r="E124" i="6"/>
  <c r="M57" i="6"/>
  <c r="E106" i="6"/>
  <c r="E117" i="6"/>
  <c r="E128" i="6"/>
  <c r="M50" i="6"/>
  <c r="G141" i="6"/>
  <c r="N141" i="6"/>
  <c r="O77" i="6"/>
  <c r="O68" i="6"/>
  <c r="O71" i="6"/>
  <c r="O75" i="6"/>
  <c r="O72" i="6"/>
  <c r="O74" i="6"/>
  <c r="O70" i="6"/>
  <c r="O69" i="6"/>
  <c r="O76" i="6"/>
  <c r="O78" i="6"/>
  <c r="O73" i="6"/>
  <c r="G140" i="6"/>
  <c r="N140" i="6"/>
  <c r="G163" i="6"/>
  <c r="N163" i="6"/>
  <c r="G167" i="6"/>
  <c r="N167" i="6"/>
  <c r="G170" i="6"/>
  <c r="N170" i="6"/>
  <c r="G153" i="6"/>
  <c r="N153" i="6"/>
  <c r="G152" i="6"/>
  <c r="N152" i="6"/>
  <c r="G149" i="6"/>
  <c r="N149" i="6"/>
  <c r="G161" i="6"/>
  <c r="N161" i="6"/>
  <c r="G164" i="6"/>
  <c r="N164" i="6"/>
  <c r="E115" i="6"/>
  <c r="E104" i="6"/>
  <c r="E126" i="6"/>
  <c r="M48" i="6"/>
  <c r="G156" i="6"/>
  <c r="N156" i="6"/>
  <c r="O91" i="6"/>
  <c r="O94" i="6"/>
  <c r="O92" i="6"/>
  <c r="O93" i="6"/>
  <c r="O100" i="6"/>
  <c r="O96" i="6"/>
  <c r="O95" i="6"/>
  <c r="O97" i="6"/>
  <c r="O90" i="6"/>
  <c r="O98" i="6"/>
  <c r="O99" i="6"/>
  <c r="G171" i="6"/>
  <c r="N171" i="6"/>
  <c r="E130" i="6"/>
  <c r="E119" i="6"/>
  <c r="E108" i="6"/>
  <c r="M52" i="6"/>
  <c r="G172" i="6"/>
  <c r="N172" i="6"/>
  <c r="G162" i="6"/>
  <c r="N162" i="6"/>
  <c r="G148" i="6"/>
  <c r="N148" i="6"/>
  <c r="G145" i="6"/>
  <c r="N145" i="6"/>
  <c r="G147" i="6"/>
  <c r="N147" i="6"/>
  <c r="G166" i="6"/>
  <c r="N166" i="6"/>
  <c r="G159" i="6"/>
  <c r="N159" i="6"/>
  <c r="M107" i="6" l="1"/>
  <c r="N107" i="6" s="1"/>
  <c r="H143" i="6" s="1"/>
  <c r="M143" i="6" s="1"/>
  <c r="M133" i="6"/>
  <c r="N133" i="6" s="1"/>
  <c r="H169" i="6" s="1"/>
  <c r="M169" i="6" s="1"/>
  <c r="M122" i="6"/>
  <c r="N122" i="6" s="1"/>
  <c r="H158" i="6" s="1"/>
  <c r="M158" i="6" s="1"/>
  <c r="K111" i="6"/>
  <c r="L111" i="6" s="1"/>
  <c r="F147" i="6" s="1"/>
  <c r="K147" i="6" s="1"/>
  <c r="K129" i="6"/>
  <c r="L129" i="6" s="1"/>
  <c r="F165" i="6" s="1"/>
  <c r="K165" i="6" s="1"/>
  <c r="D35" i="8"/>
  <c r="H178" i="6"/>
  <c r="D195" i="6" s="1"/>
  <c r="L164" i="6"/>
  <c r="L170" i="6"/>
  <c r="M121" i="6"/>
  <c r="N121" i="6" s="1"/>
  <c r="H157" i="6" s="1"/>
  <c r="M157" i="6" s="1"/>
  <c r="K121" i="6"/>
  <c r="L121" i="6" s="1"/>
  <c r="F157" i="6" s="1"/>
  <c r="K157" i="6" s="1"/>
  <c r="M131" i="6"/>
  <c r="N131" i="6" s="1"/>
  <c r="H167" i="6" s="1"/>
  <c r="M167" i="6" s="1"/>
  <c r="K131" i="6"/>
  <c r="L131" i="6" s="1"/>
  <c r="F167" i="6" s="1"/>
  <c r="K167" i="6" s="1"/>
  <c r="L159" i="6"/>
  <c r="L162" i="6"/>
  <c r="M128" i="6"/>
  <c r="N128" i="6" s="1"/>
  <c r="H164" i="6" s="1"/>
  <c r="M164" i="6" s="1"/>
  <c r="K128" i="6"/>
  <c r="L128" i="6" s="1"/>
  <c r="F164" i="6" s="1"/>
  <c r="K164" i="6" s="1"/>
  <c r="L142" i="6"/>
  <c r="M110" i="6"/>
  <c r="N110" i="6" s="1"/>
  <c r="H146" i="6" s="1"/>
  <c r="M146" i="6" s="1"/>
  <c r="K110" i="6"/>
  <c r="L110" i="6" s="1"/>
  <c r="F146" i="6" s="1"/>
  <c r="K146" i="6" s="1"/>
  <c r="K120" i="6"/>
  <c r="L120" i="6" s="1"/>
  <c r="F156" i="6" s="1"/>
  <c r="K156" i="6" s="1"/>
  <c r="M120" i="6"/>
  <c r="N120" i="6" s="1"/>
  <c r="H156" i="6" s="1"/>
  <c r="M156" i="6" s="1"/>
  <c r="L146" i="6"/>
  <c r="H165" i="6"/>
  <c r="M165" i="6" s="1"/>
  <c r="L165" i="6"/>
  <c r="F169" i="6"/>
  <c r="K169" i="6" s="1"/>
  <c r="L169" i="6"/>
  <c r="L157" i="6"/>
  <c r="F143" i="6"/>
  <c r="K143" i="6" s="1"/>
  <c r="L143" i="6"/>
  <c r="L167" i="6"/>
  <c r="L172" i="6"/>
  <c r="L156" i="6"/>
  <c r="M106" i="6"/>
  <c r="N106" i="6" s="1"/>
  <c r="H142" i="6" s="1"/>
  <c r="M142" i="6" s="1"/>
  <c r="K106" i="6"/>
  <c r="L106" i="6" s="1"/>
  <c r="F142" i="6" s="1"/>
  <c r="K142" i="6" s="1"/>
  <c r="L161" i="6"/>
  <c r="K117" i="6"/>
  <c r="L117" i="6" s="1"/>
  <c r="F153" i="6" s="1"/>
  <c r="K153" i="6" s="1"/>
  <c r="M117" i="6"/>
  <c r="N117" i="6" s="1"/>
  <c r="H153" i="6" s="1"/>
  <c r="M153" i="6" s="1"/>
  <c r="K119" i="6"/>
  <c r="L119" i="6" s="1"/>
  <c r="F155" i="6" s="1"/>
  <c r="K155" i="6" s="1"/>
  <c r="M119" i="6"/>
  <c r="N119" i="6" s="1"/>
  <c r="H155" i="6" s="1"/>
  <c r="M155" i="6" s="1"/>
  <c r="M126" i="6"/>
  <c r="N126" i="6" s="1"/>
  <c r="H162" i="6" s="1"/>
  <c r="M162" i="6" s="1"/>
  <c r="K126" i="6"/>
  <c r="L126" i="6" s="1"/>
  <c r="F162" i="6" s="1"/>
  <c r="K162" i="6" s="1"/>
  <c r="L152" i="6"/>
  <c r="L140" i="6"/>
  <c r="K113" i="6"/>
  <c r="L113" i="6" s="1"/>
  <c r="F149" i="6" s="1"/>
  <c r="K149" i="6" s="1"/>
  <c r="M113" i="6"/>
  <c r="N113" i="6" s="1"/>
  <c r="H149" i="6" s="1"/>
  <c r="M149" i="6" s="1"/>
  <c r="M136" i="6"/>
  <c r="N136" i="6" s="1"/>
  <c r="H172" i="6" s="1"/>
  <c r="M172" i="6" s="1"/>
  <c r="K136" i="6"/>
  <c r="L136" i="6" s="1"/>
  <c r="F172" i="6" s="1"/>
  <c r="K172" i="6" s="1"/>
  <c r="H177" i="6"/>
  <c r="L145" i="6"/>
  <c r="K130" i="6"/>
  <c r="L130" i="6" s="1"/>
  <c r="F166" i="6" s="1"/>
  <c r="K166" i="6" s="1"/>
  <c r="M130" i="6"/>
  <c r="N130" i="6" s="1"/>
  <c r="H166" i="6" s="1"/>
  <c r="M166" i="6" s="1"/>
  <c r="M104" i="6"/>
  <c r="N104" i="6" s="1"/>
  <c r="H140" i="6" s="1"/>
  <c r="M140" i="6" s="1"/>
  <c r="K104" i="6"/>
  <c r="L104" i="6" s="1"/>
  <c r="F140" i="6" s="1"/>
  <c r="K140" i="6" s="1"/>
  <c r="M135" i="6"/>
  <c r="N135" i="6" s="1"/>
  <c r="H171" i="6" s="1"/>
  <c r="M171" i="6" s="1"/>
  <c r="K135" i="6"/>
  <c r="L135" i="6" s="1"/>
  <c r="F171" i="6" s="1"/>
  <c r="K171" i="6" s="1"/>
  <c r="L155" i="6"/>
  <c r="M114" i="6"/>
  <c r="N114" i="6" s="1"/>
  <c r="H150" i="6" s="1"/>
  <c r="M150" i="6" s="1"/>
  <c r="K114" i="6"/>
  <c r="L114" i="6" s="1"/>
  <c r="F150" i="6" s="1"/>
  <c r="K150" i="6" s="1"/>
  <c r="AA24" i="8"/>
  <c r="J63" i="10" s="1"/>
  <c r="E36" i="8"/>
  <c r="L151" i="6"/>
  <c r="D34" i="8"/>
  <c r="M116" i="6"/>
  <c r="N116" i="6" s="1"/>
  <c r="H152" i="6" s="1"/>
  <c r="M152" i="6" s="1"/>
  <c r="K116" i="6"/>
  <c r="L116" i="6" s="1"/>
  <c r="F152" i="6" s="1"/>
  <c r="K152" i="6" s="1"/>
  <c r="L144" i="6"/>
  <c r="M134" i="6"/>
  <c r="N134" i="6" s="1"/>
  <c r="H170" i="6" s="1"/>
  <c r="M170" i="6" s="1"/>
  <c r="K134" i="6"/>
  <c r="L134" i="6" s="1"/>
  <c r="F170" i="6" s="1"/>
  <c r="K170" i="6" s="1"/>
  <c r="K132" i="6"/>
  <c r="L132" i="6" s="1"/>
  <c r="F168" i="6" s="1"/>
  <c r="K168" i="6" s="1"/>
  <c r="M132" i="6"/>
  <c r="N132" i="6" s="1"/>
  <c r="H168" i="6" s="1"/>
  <c r="M168" i="6" s="1"/>
  <c r="L149" i="6"/>
  <c r="L163" i="6"/>
  <c r="H147" i="6"/>
  <c r="M147" i="6" s="1"/>
  <c r="L147" i="6"/>
  <c r="M108" i="6"/>
  <c r="N108" i="6" s="1"/>
  <c r="H144" i="6" s="1"/>
  <c r="M144" i="6" s="1"/>
  <c r="K108" i="6"/>
  <c r="L108" i="6" s="1"/>
  <c r="F144" i="6" s="1"/>
  <c r="K144" i="6" s="1"/>
  <c r="H176" i="6"/>
  <c r="M124" i="6"/>
  <c r="N124" i="6" s="1"/>
  <c r="H160" i="6" s="1"/>
  <c r="M160" i="6" s="1"/>
  <c r="K124" i="6"/>
  <c r="L124" i="6" s="1"/>
  <c r="F160" i="6" s="1"/>
  <c r="K160" i="6" s="1"/>
  <c r="F158" i="6"/>
  <c r="K158" i="6" s="1"/>
  <c r="L158" i="6"/>
  <c r="K115" i="6"/>
  <c r="L115" i="6" s="1"/>
  <c r="F151" i="6" s="1"/>
  <c r="K151" i="6" s="1"/>
  <c r="M115" i="6"/>
  <c r="N115" i="6" s="1"/>
  <c r="H151" i="6" s="1"/>
  <c r="M151" i="6" s="1"/>
  <c r="L153" i="6"/>
  <c r="M125" i="6"/>
  <c r="N125" i="6" s="1"/>
  <c r="H161" i="6" s="1"/>
  <c r="M161" i="6" s="1"/>
  <c r="K125" i="6"/>
  <c r="L125" i="6" s="1"/>
  <c r="F161" i="6" s="1"/>
  <c r="K161" i="6" s="1"/>
  <c r="K127" i="6"/>
  <c r="L127" i="6" s="1"/>
  <c r="F163" i="6" s="1"/>
  <c r="K163" i="6" s="1"/>
  <c r="M127" i="6"/>
  <c r="N127" i="6" s="1"/>
  <c r="H163" i="6" s="1"/>
  <c r="M163" i="6" s="1"/>
  <c r="K112" i="6"/>
  <c r="L112" i="6" s="1"/>
  <c r="F148" i="6" s="1"/>
  <c r="K148" i="6" s="1"/>
  <c r="M112" i="6"/>
  <c r="N112" i="6" s="1"/>
  <c r="H148" i="6" s="1"/>
  <c r="M148" i="6" s="1"/>
  <c r="L166" i="6"/>
  <c r="L150" i="6"/>
  <c r="L160" i="6"/>
  <c r="L148" i="6"/>
  <c r="L171" i="6"/>
  <c r="L141" i="6"/>
  <c r="H154" i="6"/>
  <c r="M154" i="6" s="1"/>
  <c r="F154" i="6"/>
  <c r="K154" i="6" s="1"/>
  <c r="L154" i="6"/>
  <c r="K109" i="6"/>
  <c r="L109" i="6" s="1"/>
  <c r="F145" i="6" s="1"/>
  <c r="K145" i="6" s="1"/>
  <c r="M109" i="6"/>
  <c r="N109" i="6" s="1"/>
  <c r="H145" i="6" s="1"/>
  <c r="M145" i="6" s="1"/>
  <c r="K105" i="6"/>
  <c r="L105" i="6" s="1"/>
  <c r="F141" i="6" s="1"/>
  <c r="K141" i="6" s="1"/>
  <c r="M105" i="6"/>
  <c r="N105" i="6" s="1"/>
  <c r="H141" i="6" s="1"/>
  <c r="M141" i="6" s="1"/>
  <c r="L168" i="6"/>
  <c r="M123" i="6"/>
  <c r="N123" i="6" s="1"/>
  <c r="H159" i="6" s="1"/>
  <c r="M159" i="6" s="1"/>
  <c r="K123" i="6"/>
  <c r="L123" i="6" s="1"/>
  <c r="F159" i="6" s="1"/>
  <c r="K159" i="6" s="1"/>
  <c r="AF11" i="10" l="1"/>
  <c r="D194" i="6"/>
  <c r="E196" i="6"/>
  <c r="D192" i="6"/>
  <c r="F192" i="6" s="1"/>
  <c r="D193" i="6"/>
  <c r="D196" i="6"/>
  <c r="F177" i="6"/>
  <c r="E189" i="6" s="1"/>
  <c r="G176" i="6"/>
  <c r="AD10" i="10" s="1"/>
  <c r="E176" i="6"/>
  <c r="G177" i="6"/>
  <c r="E178" i="6"/>
  <c r="G178" i="6"/>
  <c r="D185" i="6"/>
  <c r="D186" i="6"/>
  <c r="E186" i="6"/>
  <c r="D183" i="6"/>
  <c r="D184" i="6"/>
  <c r="D182" i="6"/>
  <c r="F182" i="6" s="1"/>
  <c r="AD11" i="10"/>
  <c r="E191" i="6"/>
  <c r="D188" i="6"/>
  <c r="D191" i="6"/>
  <c r="AE11" i="10"/>
  <c r="D187" i="6"/>
  <c r="F187" i="6" s="1"/>
  <c r="D190" i="6"/>
  <c r="D189" i="6"/>
  <c r="E177" i="6"/>
  <c r="BC7" i="10"/>
  <c r="L7" i="8"/>
  <c r="F176" i="6"/>
  <c r="F178" i="6"/>
  <c r="F196" i="6" l="1"/>
  <c r="F186" i="6"/>
  <c r="AE9" i="10"/>
  <c r="E185" i="6"/>
  <c r="F185" i="6" s="1"/>
  <c r="E194" i="6"/>
  <c r="F194" i="6" s="1"/>
  <c r="AF9" i="10"/>
  <c r="E184" i="6"/>
  <c r="F184" i="6" s="1"/>
  <c r="AD9" i="10"/>
  <c r="AF10" i="10"/>
  <c r="E195" i="6"/>
  <c r="F195" i="6" s="1"/>
  <c r="F191" i="6"/>
  <c r="E188" i="6"/>
  <c r="F188" i="6" s="1"/>
  <c r="AE8" i="10"/>
  <c r="AF8" i="10"/>
  <c r="E193" i="6"/>
  <c r="F193" i="6" s="1"/>
  <c r="AE10" i="10"/>
  <c r="E190" i="6"/>
  <c r="F190" i="6" s="1"/>
  <c r="F189" i="6"/>
  <c r="AD8" i="10"/>
  <c r="E183" i="6"/>
  <c r="F183" i="6" s="1"/>
</calcChain>
</file>

<file path=xl/sharedStrings.xml><?xml version="1.0" encoding="utf-8"?>
<sst xmlns="http://schemas.openxmlformats.org/spreadsheetml/2006/main" count="1452" uniqueCount="671">
  <si>
    <t>CIB ESG Metrics Lab — Excel Model</t>
  </si>
  <si>
    <t>Purpose</t>
  </si>
  <si>
    <t>Synthetic-data case study for financed emissions, pathway alignment and transaction impact analysis.</t>
  </si>
  <si>
    <t>Methodology</t>
  </si>
  <si>
    <t>PCAF-inspired attribution, GHG Protocol-informed Scope 1/2/3 layer, simplified pathway classification.</t>
  </si>
  <si>
    <t>Excel color code</t>
  </si>
  <si>
    <t>Limitations</t>
  </si>
  <si>
    <t>Synthetic case study only; not a credit decision, not investment advice, not a regulatory disclosure tool.</t>
  </si>
  <si>
    <t>01 – Portfolio Input</t>
  </si>
  <si>
    <t>Portfolio data generated</t>
  </si>
  <si>
    <t>CIB-style portfolio</t>
  </si>
  <si>
    <t>*</t>
  </si>
  <si>
    <t>Counterparty ID</t>
  </si>
  <si>
    <t>Counterparty Name</t>
  </si>
  <si>
    <t>Sector</t>
  </si>
  <si>
    <t>Country</t>
  </si>
  <si>
    <t>Region</t>
  </si>
  <si>
    <t>Facility Type</t>
  </si>
  <si>
    <t>Maturity</t>
  </si>
  <si>
    <t>Bank Exposure (€m)</t>
  </si>
  <si>
    <t>Revenue (€m)</t>
  </si>
  <si>
    <t>EBITDA Margin</t>
  </si>
  <si>
    <t>EBITDA (€m)</t>
  </si>
  <si>
    <t>EV / Revenue Multiple</t>
  </si>
  <si>
    <t>Revenue-Based Enterprise Value (€m)</t>
  </si>
  <si>
    <t>EV / EBITDA Multiple</t>
  </si>
  <si>
    <t>EBITDA-Based Enterprise Value (€m)</t>
  </si>
  <si>
    <t>Operating Enterprise Value (€m)</t>
  </si>
  <si>
    <t>Cash &amp; Short-Term Investments (€m)</t>
  </si>
  <si>
    <t>EVIC Proxy (€m)</t>
  </si>
  <si>
    <t>Scope 1 Emissions (tCO₂e)</t>
  </si>
  <si>
    <t>Scope 2 Emissions (tCO₂e)</t>
  </si>
  <si>
    <t>Scope 3 Emissions (tCO₂e)</t>
  </si>
  <si>
    <t>Data Quality Score</t>
  </si>
  <si>
    <t>Reported Emissions?</t>
  </si>
  <si>
    <t>Estimated Emissions?</t>
  </si>
  <si>
    <t>Transition Plan Status</t>
  </si>
  <si>
    <t>Synthetic Target Status</t>
  </si>
  <si>
    <t>Green Revenue %</t>
  </si>
  <si>
    <t>Fossil Revenue %</t>
  </si>
  <si>
    <t>High-Carbon Sector?</t>
  </si>
  <si>
    <t>Sector Archetype</t>
  </si>
  <si>
    <t>Generation Rationale</t>
  </si>
  <si>
    <t>CIB001</t>
  </si>
  <si>
    <t>Helios Steel Group</t>
  </si>
  <si>
    <t>Steel</t>
  </si>
  <si>
    <t>France</t>
  </si>
  <si>
    <t>Europe</t>
  </si>
  <si>
    <t>Corporate loan</t>
  </si>
  <si>
    <t>Limited transition disclosure</t>
  </si>
  <si>
    <t>No target</t>
  </si>
  <si>
    <t>Hard-to-abate industrial manufacturer</t>
  </si>
  <si>
    <t>Industrial borrower with cyclicality and tangible asset base; EVIC proxy uses a higher exposure-to-value ratio than utilities but below full balance-sheet exposure. Emissions are built from sector carbon-intensity logic and Scope 1/2/3 profile: Scope 1/2-heavy profile reflecting process heat, fuel combustion and electricity use.</t>
  </si>
  <si>
    <t>CIB002</t>
  </si>
  <si>
    <t>Aster Energy Holdings</t>
  </si>
  <si>
    <t>Oil &amp; Gas</t>
  </si>
  <si>
    <t>United States</t>
  </si>
  <si>
    <t>North America</t>
  </si>
  <si>
    <t>Integrated hydrocarbons / midstream services</t>
  </si>
  <si>
    <t>Capital-intensive energy borrower; EVIC proxy uses a moderate exposure-to-value ratio to reflect diversified asset base and balance-sheet financing. Emissions are built from sector carbon-intensity logic and Scope 1/2/3 profile: Scope 3-dominant emissions profile reflecting downstream use-of-sold-product exposure in a simplified financed-emissions lens.</t>
  </si>
  <si>
    <t>CIB003</t>
  </si>
  <si>
    <t>Orion Grid Infrastructure</t>
  </si>
  <si>
    <t>Power &amp; Utilities</t>
  </si>
  <si>
    <t>Spain</t>
  </si>
  <si>
    <t>Project finance</t>
  </si>
  <si>
    <t>Partial transition plan</t>
  </si>
  <si>
    <t>Target under development</t>
  </si>
  <si>
    <t>Regulated grid / generation platform</t>
  </si>
  <si>
    <t>Utility-style asset base with project/corporate financing mix; EVIC proxy reflects long-lived infrastructure and moderate bank exposure relative to enterprise value. Emissions are built from sector carbon-intensity logic and Scope 1/2/3 profile: Scope 1-heavy where thermal generation remains material; lower-intensity renewable/grid exposures use reduced carbon intensity.</t>
  </si>
  <si>
    <t>CIB004</t>
  </si>
  <si>
    <t>Nova Cement Materials</t>
  </si>
  <si>
    <t>Cement</t>
  </si>
  <si>
    <t>India</t>
  </si>
  <si>
    <t>Asia</t>
  </si>
  <si>
    <t>Process-emissions industrial materials</t>
  </si>
  <si>
    <t>Asset-heavy materials borrower; EVIC proxy reflects plant-level capital intensity and corporate debt capacity. Emissions are built from sector carbon-intensity logic and Scope 1/2/3 profile: Scope 1-dominant profile reflecting calcination and kiln fuel assumptions.</t>
  </si>
  <si>
    <t>CIB005</t>
  </si>
  <si>
    <t>Mariner Aviation Systems</t>
  </si>
  <si>
    <t>Aviation</t>
  </si>
  <si>
    <t>Netherlands</t>
  </si>
  <si>
    <t>Asset finance</t>
  </si>
  <si>
    <t>Fleet / aviation services borrower</t>
  </si>
  <si>
    <t>Asset-finance and corporate-loan profile; EVIC proxy reflects high fixed assets and leverage capacity. Emissions are built from sector carbon-intensity logic and Scope 1/2/3 profile: Scope 1-heavy operational fuel profile under a simplified aviation-emissions model.</t>
  </si>
  <si>
    <t>CIB006</t>
  </si>
  <si>
    <t>BlueHarbor Shipping</t>
  </si>
  <si>
    <t>Shipping</t>
  </si>
  <si>
    <t>South Korea</t>
  </si>
  <si>
    <t>Vessel / maritime logistics borrower</t>
  </si>
  <si>
    <t>Asset-finance profile backed by vessel fleet economics; EVIC proxy reflects debt-funded asset base. Emissions are built from sector carbon-intensity logic and Scope 1/2/3 profile: Scope 1-heavy marine-fuel profile with limited Scope 2 exposure.</t>
  </si>
  <si>
    <t>CIB007</t>
  </si>
  <si>
    <t>Caldera Petrochem Industries</t>
  </si>
  <si>
    <t>Chemicals</t>
  </si>
  <si>
    <t>United Kingdom</t>
  </si>
  <si>
    <t>Petrochemical / specialty chemicals platform</t>
  </si>
  <si>
    <t>Mixed commodity-specialty profile; EVIC proxy reflects sizeable operating assets and working-capital needs. Emissions are built from sector carbon-intensity logic and Scope 1/2/3 profile: Mixed Scope 1 and Scope 3 profile reflecting production emissions and downstream product-chain exposure.</t>
  </si>
  <si>
    <t>CIB008</t>
  </si>
  <si>
    <t>TerraFood Ingredients</t>
  </si>
  <si>
    <t>Agriculture &amp; Food</t>
  </si>
  <si>
    <t>Germany</t>
  </si>
  <si>
    <t>Food ingredients / agri-processing borrower</t>
  </si>
  <si>
    <t>Defensive revenue base with moderate debt capacity; EVIC proxy reflects commodity and processing exposure. Emissions are built from sector carbon-intensity logic and Scope 1/2/3 profile: Scope 3-heavy profile reflecting agricultural sourcing and supply-chain emissions.</t>
  </si>
  <si>
    <t>CIB009</t>
  </si>
  <si>
    <t>VoltEdge Power Assets</t>
  </si>
  <si>
    <t>Brazil</t>
  </si>
  <si>
    <t>Latin America</t>
  </si>
  <si>
    <t>Credible transition plan</t>
  </si>
  <si>
    <t>Synthetic SBT-style target</t>
  </si>
  <si>
    <t>CIB010</t>
  </si>
  <si>
    <t>UrbanCore Properties</t>
  </si>
  <si>
    <t>Real Estate</t>
  </si>
  <si>
    <t>Italy</t>
  </si>
  <si>
    <t>Sustainability-linked loan</t>
  </si>
  <si>
    <t>Real estate assets / retrofit financing</t>
  </si>
  <si>
    <t>Property-backed financing with high EVIC-to-revenue ratio; EVIC proxy reflects asset value rather than operating revenue alone. Emissions are built from sector carbon-intensity logic and Scope 1/2/3 profile: Balanced operational and embodied-carbon proxy across Scope 1/2/3.</t>
  </si>
  <si>
    <t>CIB011</t>
  </si>
  <si>
    <t>Borealis Energy Finance</t>
  </si>
  <si>
    <t>Japan</t>
  </si>
  <si>
    <t>CIB012</t>
  </si>
  <si>
    <t>Aquila Midstream Ventures</t>
  </si>
  <si>
    <t>Belgium</t>
  </si>
  <si>
    <t>CIB013</t>
  </si>
  <si>
    <t>NorthSea Energy Services</t>
  </si>
  <si>
    <t>CIB014</t>
  </si>
  <si>
    <t>Sable Hydrocarbon Logistics</t>
  </si>
  <si>
    <t>CIB015</t>
  </si>
  <si>
    <t>Eclipse Energy Partners</t>
  </si>
  <si>
    <t>CIB016</t>
  </si>
  <si>
    <t>Aurora Renewables Platform</t>
  </si>
  <si>
    <t>CIB017</t>
  </si>
  <si>
    <t>Riverton Grid Networks</t>
  </si>
  <si>
    <t>CIB018</t>
  </si>
  <si>
    <t>Solstice Thermal Assets</t>
  </si>
  <si>
    <t>CIB019</t>
  </si>
  <si>
    <t>Vector Utility Services</t>
  </si>
  <si>
    <t>CIB020</t>
  </si>
  <si>
    <t>Canopy Power Distribution</t>
  </si>
  <si>
    <t>CIB021</t>
  </si>
  <si>
    <t>HarborLight Energy Systems</t>
  </si>
  <si>
    <t>CIB022</t>
  </si>
  <si>
    <t>ForgeLine Steelworks</t>
  </si>
  <si>
    <t>CIB023</t>
  </si>
  <si>
    <t>Atlas Coil Manufacturing</t>
  </si>
  <si>
    <t>CIB024</t>
  </si>
  <si>
    <t>Mercury Metals Processing</t>
  </si>
  <si>
    <t>CIB025</t>
  </si>
  <si>
    <t>Granite Steel Components</t>
  </si>
  <si>
    <t>CIB026</t>
  </si>
  <si>
    <t>Lumen Cement Solutions</t>
  </si>
  <si>
    <t>CIB027</t>
  </si>
  <si>
    <t>Crestline Building Materials</t>
  </si>
  <si>
    <t>CIB028</t>
  </si>
  <si>
    <t>Pinnacle Clinker Group</t>
  </si>
  <si>
    <t>CIB029</t>
  </si>
  <si>
    <t>VeraChem Specialties</t>
  </si>
  <si>
    <t>CIB030</t>
  </si>
  <si>
    <t>Apex Polymer Materials</t>
  </si>
  <si>
    <t>CIB031</t>
  </si>
  <si>
    <t>NaturaSolv Industrial Chemicals</t>
  </si>
  <si>
    <t>CIB032</t>
  </si>
  <si>
    <t>Zenith Coatings Group</t>
  </si>
  <si>
    <t>CIB033</t>
  </si>
  <si>
    <t>SkyBridge Leasing Platform</t>
  </si>
  <si>
    <t>CIB034</t>
  </si>
  <si>
    <t>AeroNova Services</t>
  </si>
  <si>
    <t>CIB035</t>
  </si>
  <si>
    <t>Nimbus Fleet Holdings</t>
  </si>
  <si>
    <t>CIB036</t>
  </si>
  <si>
    <t>OceanGate Vessel Finance</t>
  </si>
  <si>
    <t>CIB037</t>
  </si>
  <si>
    <t>Triton Maritime Logistics</t>
  </si>
  <si>
    <t>CIB038</t>
  </si>
  <si>
    <t>Portside Freight Carriers</t>
  </si>
  <si>
    <t>CIB039</t>
  </si>
  <si>
    <t>EonDrive Components</t>
  </si>
  <si>
    <t>Automotive</t>
  </si>
  <si>
    <t>Automotive manufacturing / mobility supplier</t>
  </si>
  <si>
    <t>Large revenue base and lower EVIC multiple assumption; bank exposure sized as a small share of company value. Emissions are built from sector carbon-intensity logic and Scope 1/2/3 profile: Scope 3-dominant profile reflecting use-phase and value-chain emissions.</t>
  </si>
  <si>
    <t>CIB040</t>
  </si>
  <si>
    <t>ArcMotion Mobility</t>
  </si>
  <si>
    <t>CIB041</t>
  </si>
  <si>
    <t>PrimeVolt Battery Systems</t>
  </si>
  <si>
    <t>CIB042</t>
  </si>
  <si>
    <t>Sterling Auto Parts</t>
  </si>
  <si>
    <t>CIB043</t>
  </si>
  <si>
    <t>MetroFleet Manufacturing</t>
  </si>
  <si>
    <t>CIB044</t>
  </si>
  <si>
    <t>Fieldstone Nutrition</t>
  </si>
  <si>
    <t>CIB045</t>
  </si>
  <si>
    <t>GreenVale Processing</t>
  </si>
  <si>
    <t>CIB046</t>
  </si>
  <si>
    <t>HarvestLink Foods</t>
  </si>
  <si>
    <t>CIB047</t>
  </si>
  <si>
    <t>Prairie Ingredients</t>
  </si>
  <si>
    <t>CIB048</t>
  </si>
  <si>
    <t>MetroCore Offices</t>
  </si>
  <si>
    <t>CIB049</t>
  </si>
  <si>
    <t>CivicSquare Properties</t>
  </si>
  <si>
    <t>CIB050</t>
  </si>
  <si>
    <t>Horizon Logistics Parks</t>
  </si>
  <si>
    <t>CIB051</t>
  </si>
  <si>
    <t>UnionPoint Residential</t>
  </si>
  <si>
    <t>CIB052</t>
  </si>
  <si>
    <t>Atrium Living Assets</t>
  </si>
  <si>
    <t>CIB053</t>
  </si>
  <si>
    <t>Mercury Retail Services</t>
  </si>
  <si>
    <t>Retail &amp; Services</t>
  </si>
  <si>
    <t>Low-carbon service / retail borrower</t>
  </si>
  <si>
    <t>Service-oriented borrower with lower carbon intensity and diversified operating base. Emissions are built from sector carbon-intensity logic and Scope 1/2/3 profile: Scope 3-dominant but low absolute intensity relative to industrial sectors.</t>
  </si>
  <si>
    <t>CIB054</t>
  </si>
  <si>
    <t>Northstar Consumer Group</t>
  </si>
  <si>
    <t>CIB055</t>
  </si>
  <si>
    <t>Luna Hospitality Services</t>
  </si>
  <si>
    <t>CIB056</t>
  </si>
  <si>
    <t>ClearPath Business Services</t>
  </si>
  <si>
    <t>CIB057</t>
  </si>
  <si>
    <t>Cobalt Digital Services</t>
  </si>
  <si>
    <t>CIB058</t>
  </si>
  <si>
    <t>Meridian Retail Parks</t>
  </si>
  <si>
    <t>CIB059</t>
  </si>
  <si>
    <t>Summit Care Services</t>
  </si>
  <si>
    <t>CIB060</t>
  </si>
  <si>
    <t>AtlasPoint Services</t>
  </si>
  <si>
    <t>02 – Company Emissions</t>
  </si>
  <si>
    <t>Carbon intensity calculation</t>
  </si>
  <si>
    <t>Carbon Intensity by Company</t>
  </si>
  <si>
    <t>Total Emissions (tCO₂e)</t>
  </si>
  <si>
    <t>Carbon Intensity (tCO₂e / €m revenue)</t>
  </si>
  <si>
    <t>Scope 1 %</t>
  </si>
  <si>
    <t>Scope 2 %</t>
  </si>
  <si>
    <t>Scope 3 %</t>
  </si>
  <si>
    <t>03 – Financed Emissions</t>
  </si>
  <si>
    <t>Financed Emissions calculation</t>
  </si>
  <si>
    <t>Block A – Financed Emissions by Company</t>
  </si>
  <si>
    <t>Attribution Factor</t>
  </si>
  <si>
    <t>Financed Scope 1 (tCO₂e)</t>
  </si>
  <si>
    <t>Financed Scope 2 (tCO₂e)</t>
  </si>
  <si>
    <t>Financed Scope 3 (tCO₂e)</t>
  </si>
  <si>
    <t>Total Financed Emissions (tCO₂e)</t>
  </si>
  <si>
    <t>Financed Emissions (ktCO₂e)</t>
  </si>
  <si>
    <t>Contribution %</t>
  </si>
  <si>
    <t>Emissions Rank</t>
  </si>
  <si>
    <t>Top 10?</t>
  </si>
  <si>
    <t>Block B – Financed Emissions by Sector</t>
  </si>
  <si>
    <t>% Bank Exposure</t>
  </si>
  <si>
    <t>% Financed Scope 1</t>
  </si>
  <si>
    <t xml:space="preserve">% Financed Scope 2 </t>
  </si>
  <si>
    <t>% Financed Scope 3</t>
  </si>
  <si>
    <t>% Total Financed Emissions</t>
  </si>
  <si>
    <t>04 – Portfolio KPIs</t>
  </si>
  <si>
    <t>KPI Calculations</t>
  </si>
  <si>
    <t>Portfolio KPIs Table</t>
  </si>
  <si>
    <t>Metric</t>
  </si>
  <si>
    <t>Formula / Value</t>
  </si>
  <si>
    <t>Display</t>
  </si>
  <si>
    <t>Total exposure (€m)</t>
  </si>
  <si>
    <t>Total financed emissions (ktCO₂e)</t>
  </si>
  <si>
    <t>Portfolio intensity (tCO₂e / €m)</t>
  </si>
  <si>
    <t>Scope 1 share</t>
  </si>
  <si>
    <t>Scope 2 share</t>
  </si>
  <si>
    <t>Scope 3 share</t>
  </si>
  <si>
    <t>Top 10 concentration</t>
  </si>
  <si>
    <t>High-carbon exposure share</t>
  </si>
  <si>
    <t>Weighted data-quality score</t>
  </si>
  <si>
    <t>Transition plan coverage</t>
  </si>
  <si>
    <t>Aligned exposure share</t>
  </si>
  <si>
    <t>Partially aligned exposure share</t>
  </si>
  <si>
    <t>Misaligned exposure share</t>
  </si>
  <si>
    <t>05 – Sector Pathways</t>
  </si>
  <si>
    <t>SBTi-informed simplified near-term benchmark and net-zero-style portfolio pathway engine</t>
  </si>
  <si>
    <t>Block AA – Framework Mapping</t>
  </si>
  <si>
    <t>Block AB — Methodology Notes</t>
  </si>
  <si>
    <t>SBTi-Inspired Segment</t>
  </si>
  <si>
    <t>SBTi-Inspired Method</t>
  </si>
  <si>
    <t>Near-Term Relevance</t>
  </si>
  <si>
    <t>Net-Zero Relevance</t>
  </si>
  <si>
    <t>Scope Coverage Logic</t>
  </si>
  <si>
    <t>Methodology Note</t>
  </si>
  <si>
    <t>Topic</t>
  </si>
  <si>
    <t>Note</t>
  </si>
  <si>
    <t>Segment A / Fossil fuel</t>
  </si>
  <si>
    <t>Fossil Fuel Finance Targets + absolute contraction framing</t>
  </si>
  <si>
    <t>High</t>
  </si>
  <si>
    <t>Scope 3 materiality, fossil revenue and lock-in risk</t>
  </si>
  <si>
    <t>Fossil fuel finance treatment, fossil revenue and lock-in risk drive the strongest near-term compression.</t>
  </si>
  <si>
    <t>Bottom-up construction</t>
  </si>
  <si>
    <t>Sector raw pathways are calculated from sector drivers, residual floors and transition speeds. The dashboard reference is used only in Block I for QA.</t>
  </si>
  <si>
    <t>Segment B / Emissions-intensive industrials</t>
  </si>
  <si>
    <t>Sector metric / SDA-style intensity convergence</t>
  </si>
  <si>
    <t>Scope 1 process emissions and capital intensity</t>
  </si>
  <si>
    <t>Hard-to-abate process emissions and capital intensity drive a high benchmark gap.</t>
  </si>
  <si>
    <t>Near-term ambition</t>
  </si>
  <si>
    <t>Near-term ambition scales the Block C 2030 benchmark factor by scenario.</t>
  </si>
  <si>
    <t>Scope 1 process emissions and transition capex dependency</t>
  </si>
  <si>
    <t>Process emissions and transition-capex dependency drive high sector pressure.</t>
  </si>
  <si>
    <t>Residual floor</t>
  </si>
  <si>
    <t>2050 residual floors are derived by sector and normalised within each scenario so the scenario residual base is distributed by sector pressure, lock-in, fossil exposure, readiness and green revenue.</t>
  </si>
  <si>
    <t>Segment B / Emissions-intensive transport</t>
  </si>
  <si>
    <t>Sector metric / intensity pathway</t>
  </si>
  <si>
    <t>Operational emissions and limited short-term abatement</t>
  </si>
  <si>
    <t>Operational emissions and limited near-term abatement drive elevated pathway stress.</t>
  </si>
  <si>
    <t>Transition speeds</t>
  </si>
  <si>
    <t>Near-term and long-term speeds translate stress/readiness/roll-off/lock-in into the curve shape. Progress is formula-derived.</t>
  </si>
  <si>
    <t>Segment B / Energy / power generation</t>
  </si>
  <si>
    <t>Sector metric + zero-emission capacity framing</t>
  </si>
  <si>
    <t>Scope 1 generation mix and renewable transition</t>
  </si>
  <si>
    <t>High emissions are offset by clearer decarbonisation levers and renewable transition potential.</t>
  </si>
  <si>
    <t>Claim boundary</t>
  </si>
  <si>
    <t>Simplified synthetic pathway model only. Not official IEA alignment, not SBTi validation and not a regulatory disclosure tool.</t>
  </si>
  <si>
    <t>Sector metric / portfolio climate alignment framing</t>
  </si>
  <si>
    <t>Medium</t>
  </si>
  <si>
    <t>Mixed Scope 1/2/3 pathways and heterogeneous feedstocks</t>
  </si>
  <si>
    <t>Heterogeneous feedstocks and Scope 1/2/3 profiles require portfolio climate-alignment framing.</t>
  </si>
  <si>
    <t>Operational emissions and fleet renewal cycle</t>
  </si>
  <si>
    <t>Fleet renewal cycle and operational emissions drive medium transition pressure.</t>
  </si>
  <si>
    <t>Segment B / Transport / transitionable value chain</t>
  </si>
  <si>
    <t>Portfolio alignment + sector transition framing</t>
  </si>
  <si>
    <t>Scope 3-heavy value chain with electrification pathway</t>
  </si>
  <si>
    <t>Electrification pathway and value-chain transition support moderate alignment gap.</t>
  </si>
  <si>
    <t>Segment B / FLAG-related</t>
  </si>
  <si>
    <t>Portfolio alignment + transition plan / target coverage framing</t>
  </si>
  <si>
    <t>FLAG and supply-chain Scope 3 exposure</t>
  </si>
  <si>
    <t>FLAG and supply-chain exposure are balanced by transition-plan and target-readiness indicators.</t>
  </si>
  <si>
    <t>Segment B/D / Buildings</t>
  </si>
  <si>
    <t>Buildings alignment / zero-carbon-ready and retrofit framing</t>
  </si>
  <si>
    <t>Operational energy, retrofit and financing roll-off</t>
  </si>
  <si>
    <t>Retrofit and refinancing windows support a below-benchmark current intensity in this synthetic model.</t>
  </si>
  <si>
    <t>Segment C / Other sectors</t>
  </si>
  <si>
    <t>Portfolio coverage / target readiness framing</t>
  </si>
  <si>
    <t>Low</t>
  </si>
  <si>
    <t>Lower direct intensity and target-readiness focus</t>
  </si>
  <si>
    <t>Lower direct intensity and stronger target-readiness profile support below-benchmark status.</t>
  </si>
  <si>
    <t>Block B — Portfolio-Derived Sector Inputs</t>
  </si>
  <si>
    <t>Exposure (€m)</t>
  </si>
  <si>
    <t>Current Intensity (tCO₂e / €m)</t>
  </si>
  <si>
    <t>Emissions Weight</t>
  </si>
  <si>
    <t>Transition Plan Coverage</t>
  </si>
  <si>
    <t>Synthetic Target Coverage</t>
  </si>
  <si>
    <t>Weighted Data Quality</t>
  </si>
  <si>
    <t>Data Quality Reliability</t>
  </si>
  <si>
    <t>Maturity Roll-Off &lt;=2026</t>
  </si>
  <si>
    <t>Maturity Roll-Off &lt;=2030</t>
  </si>
  <si>
    <t>Post-2030 Maturity Share</t>
  </si>
  <si>
    <t>Post-2040 Maturity Share</t>
  </si>
  <si>
    <t>Green Revenue Weighted</t>
  </si>
  <si>
    <t>Fossil Revenue Weighted</t>
  </si>
  <si>
    <t>High-Carbon Exposure Share</t>
  </si>
  <si>
    <t>Block C — Near-Term 2030 Benchmark Engine</t>
  </si>
  <si>
    <t>Base Year</t>
  </si>
  <si>
    <t>Target Year</t>
  </si>
  <si>
    <t>Years to Target</t>
  </si>
  <si>
    <t>Annual Anchor Reduction</t>
  </si>
  <si>
    <t>Base Reduction</t>
  </si>
  <si>
    <t>Base Factor</t>
  </si>
  <si>
    <t>Sector Pressure Adj.</t>
  </si>
  <si>
    <t>Readiness Adj.</t>
  </si>
  <si>
    <t>Maturity Roll-Off Adj.</t>
  </si>
  <si>
    <t>Green Revenue Adj.</t>
  </si>
  <si>
    <t>Fossil Revenue Penalty</t>
  </si>
  <si>
    <t>Final 2030 Benchmark Factor</t>
  </si>
  <si>
    <t>Current Intensity</t>
  </si>
  <si>
    <t>Simplified 2030 Target Intensity</t>
  </si>
  <si>
    <t>Alignment Ratio</t>
  </si>
  <si>
    <t>Gap to Target</t>
  </si>
  <si>
    <t>Priority</t>
  </si>
  <si>
    <t>Highest transition pressure driven by fossil fuel exposure, material Scope 3 emissions, fossil fuel revenues, and asset lock-in risk.</t>
  </si>
  <si>
    <t>Hard-to-abate industrial processes, significant process emissions, and high CAPEX requirements for decarbonization.</t>
  </si>
  <si>
    <t>Carbon-intensive industrial operations with strong dependence on technological transition and substantial capital investment.</t>
  </si>
  <si>
    <t>High operational emissions with limited short-term decarbonization alternatives.</t>
  </si>
  <si>
    <t>High emissions profile, partially offset by strong transition readiness and green transition potential.</t>
  </si>
  <si>
    <t>Heterogeneous sector with material transition exposure but multiple credible decarbonization pathways.</t>
  </si>
  <si>
    <t>Transport-intensive sector, although the modeled portfolio transition gap remains moderate</t>
  </si>
  <si>
    <t>Lower transition pressure supported by a clear electrification pathway and value chain decarbonization opportunities.</t>
  </si>
  <si>
    <t>Material emissions profile, partially mitigated by portfolio transition readiness and a moderate transition gap.</t>
  </si>
  <si>
    <t>Strong retrofit potential and access to financing for asset modernization, supporting lower transition pressure.</t>
  </si>
  <si>
    <t>Low direct emissions intensity, limited carbon footprint, and strong transition target readiness.</t>
  </si>
  <si>
    <t>Block D — Sector Transition Driver Score</t>
  </si>
  <si>
    <t>2030 Benchmark Factor</t>
  </si>
  <si>
    <t>Alignment Stress</t>
  </si>
  <si>
    <t>Readiness Score</t>
  </si>
  <si>
    <t>Maturity Flexibility Score</t>
  </si>
  <si>
    <t>Lock-In Score</t>
  </si>
  <si>
    <t>Green Revenue Support</t>
  </si>
  <si>
    <t>Fossil Revenue Drag</t>
  </si>
  <si>
    <t>Sector Pressure Score</t>
  </si>
  <si>
    <t>Net Transition Capacity Score</t>
  </si>
  <si>
    <t>Bottom-up driver score: stress penalises speed; readiness, roll-off and green revenue support speed; lock-in and fossil revenue slow the pathway.</t>
  </si>
  <si>
    <t>Block E — Scenario Assumptions</t>
  </si>
  <si>
    <t>Scenario</t>
  </si>
  <si>
    <t>Near-Term Ambition</t>
  </si>
  <si>
    <t>2050 Residual Base</t>
  </si>
  <si>
    <t>Near-Term Base Speed</t>
  </si>
  <si>
    <t>Long-Term Base Speed</t>
  </si>
  <si>
    <t>NT Beta / Stress</t>
  </si>
  <si>
    <t>NT Gamma / Readiness</t>
  </si>
  <si>
    <t>NT Theta / Roll-Off</t>
  </si>
  <si>
    <t>NT Delta / Lock-In</t>
  </si>
  <si>
    <t>LT Beta / Stress</t>
  </si>
  <si>
    <t>LT Gamma / Readiness</t>
  </si>
  <si>
    <t>LT Theta / Roll-Off</t>
  </si>
  <si>
    <t>LT Delta / Lock-In</t>
  </si>
  <si>
    <t>Fossil Drag</t>
  </si>
  <si>
    <t>Green Relief</t>
  </si>
  <si>
    <t>Residual Pressure Beta</t>
  </si>
  <si>
    <t>Residual Lock-In Beta</t>
  </si>
  <si>
    <t>Residual Readiness Relief</t>
  </si>
  <si>
    <t>Baseline</t>
  </si>
  <si>
    <t>Slower transition: lower near-term ambition, higher residual intensity and lower transition speeds.</t>
  </si>
  <si>
    <t>Orderly</t>
  </si>
  <si>
    <t>Managed transition: stronger near-term ambition, lower residual intensity and moderate front-loading.</t>
  </si>
  <si>
    <t>Accelerated</t>
  </si>
  <si>
    <t>Accelerated transition: high near-term ambition, low residual intensity and faster long-term convergence.</t>
  </si>
  <si>
    <t>Block F — Sector Residual Floor Engine</t>
  </si>
  <si>
    <t>Scenario Residual Base</t>
  </si>
  <si>
    <t>Pressure Score</t>
  </si>
  <si>
    <t>Raw Residual Modifier</t>
  </si>
  <si>
    <t>Normalization Factor</t>
  </si>
  <si>
    <t>Final 2050 Residual Floor</t>
  </si>
  <si>
    <t>Weighted Residual Contribution</t>
  </si>
  <si>
    <t>Check</t>
  </si>
  <si>
    <t>Sector residual floor is derived from structural pressure, lock-in, fossil exposure, readiness and green revenue; the sector modifiers are normalised inside each scenario.</t>
  </si>
  <si>
    <t>Block G — Sector Transition Speed</t>
  </si>
  <si>
    <t>Near-Term Speed Modifier</t>
  </si>
  <si>
    <t>Near-Term Transition Speed</t>
  </si>
  <si>
    <t>Long-Term Speed Modifier</t>
  </si>
  <si>
    <t>Long-Term Transition Speed</t>
  </si>
  <si>
    <t>Transition speed is sector-first: stress and lock-in slow the curve; readiness, roll-off and green revenue accelerate it.</t>
  </si>
  <si>
    <t>Block H — Sector-Level Raw Pathway</t>
  </si>
  <si>
    <t>2024</t>
  </si>
  <si>
    <t>2026</t>
  </si>
  <si>
    <t>2030</t>
  </si>
  <si>
    <t>2040</t>
  </si>
  <si>
    <t>2050</t>
  </si>
  <si>
    <t>Weighted 2024</t>
  </si>
  <si>
    <t>Weighted 2026</t>
  </si>
  <si>
    <t>Weighted 2030</t>
  </si>
  <si>
    <t>Weighted 2040</t>
  </si>
  <si>
    <t>Weighted 2050</t>
  </si>
  <si>
    <t>Formula Note</t>
  </si>
  <si>
    <t>Raw sector pathway is calculated from sector benchmark factor, residual floor and transition speeds</t>
  </si>
  <si>
    <t>Block I — Portfolio Aggregation and QA</t>
  </si>
  <si>
    <t>Calculated portfolio index</t>
  </si>
  <si>
    <t>Block J — Scenario Progress Curve</t>
  </si>
  <si>
    <t>Year</t>
  </si>
  <si>
    <t>Residual Floor 2050</t>
  </si>
  <si>
    <t>Calculated Portfolio Index</t>
  </si>
  <si>
    <t>Calculated Transition Progress</t>
  </si>
  <si>
    <t>Progress is derived from the calculated bottom-up portfolio index and residual floor</t>
  </si>
  <si>
    <t>06 – Alignment Analysis</t>
  </si>
  <si>
    <t>Alignment status estimation by company</t>
  </si>
  <si>
    <t>Block A – Threshold Assumptions</t>
  </si>
  <si>
    <t>Alignment Status</t>
  </si>
  <si>
    <t>Transition Plan</t>
  </si>
  <si>
    <t>Data Quality</t>
  </si>
  <si>
    <t>Aligned</t>
  </si>
  <si>
    <t>Partially aligned</t>
  </si>
  <si>
    <t>-</t>
  </si>
  <si>
    <t>Misaligned</t>
  </si>
  <si>
    <t>Block B– Alignment Calculation</t>
  </si>
  <si>
    <t>Actual Intensity</t>
  </si>
  <si>
    <t>Sector 2030 Target</t>
  </si>
  <si>
    <t>Calculated Alignment Status</t>
  </si>
  <si>
    <t>07 – Transaction Simulator</t>
  </si>
  <si>
    <t>Scenario-based marginal impact model</t>
  </si>
  <si>
    <t>Block A — Transaction Selector &amp; Executive Snapshot</t>
  </si>
  <si>
    <t>Selected Transaction ID</t>
  </si>
  <si>
    <t>TX04</t>
  </si>
  <si>
    <t>Transaction Name</t>
  </si>
  <si>
    <t>Exposure Added (€m)</t>
  </si>
  <si>
    <t>Marginal Financed Emissions (ktCO₂e)</t>
  </si>
  <si>
    <t>Portfolio Exposure After (€m)</t>
  </si>
  <si>
    <t>Portfolio Emissions After (ktCO₂e)</t>
  </si>
  <si>
    <t>Portfolio Intensity After (tCO₂e/€m)</t>
  </si>
  <si>
    <t>Intensity Delta</t>
  </si>
  <si>
    <t>Data Quality After</t>
  </si>
  <si>
    <t>Alignment Impact</t>
  </si>
  <si>
    <t>Recommendation</t>
  </si>
  <si>
    <t>Block B — Portfolio Starting Point</t>
  </si>
  <si>
    <t>Block C — Transaction Case Assumptions</t>
  </si>
  <si>
    <t>Value</t>
  </si>
  <si>
    <t>Interpretation</t>
  </si>
  <si>
    <t>Transaction ID</t>
  </si>
  <si>
    <t>Alignment Bucket</t>
  </si>
  <si>
    <t>Marginal FE (ktCO₂e)</t>
  </si>
  <si>
    <t>Effective DQ Contribution Score</t>
  </si>
  <si>
    <t>Use-of-Proceeds Tag</t>
  </si>
  <si>
    <t>Use of Proceeds</t>
  </si>
  <si>
    <t>Expected Transition Effect</t>
  </si>
  <si>
    <t>Recommendation Logic</t>
  </si>
  <si>
    <t>Total Exposure (€m)</t>
  </si>
  <si>
    <t>Portfolio exposure before the selected transaction.</t>
  </si>
  <si>
    <t>TX01</t>
  </si>
  <si>
    <t>Renewable utility project finance</t>
  </si>
  <si>
    <t>Low-carbon growth</t>
  </si>
  <si>
    <t>Renewable generation capacity and grid connection assets</t>
  </si>
  <si>
    <t>Adds low-carbon exposure and reduces portfolio intensity on a marginal basis.</t>
  </si>
  <si>
    <t>Proceed</t>
  </si>
  <si>
    <t>Lower marginal portfolio intensity, credible transition use of proceeds and stronger data-quality profile.</t>
  </si>
  <si>
    <t>Total Financed Emissions (ktCO₂e)</t>
  </si>
  <si>
    <t>Portfolio financed emissions before the selected transaction.</t>
  </si>
  <si>
    <t>TX02</t>
  </si>
  <si>
    <t>Gas-fired utility corporate loan</t>
  </si>
  <si>
    <t>Transition monitoring</t>
  </si>
  <si>
    <t>General corporate financing for dispatchable generation assets</t>
  </si>
  <si>
    <t>Ambivalent impact: reliability value but limited portfolio-intensity improvement.</t>
  </si>
  <si>
    <t>Proceed with monitoring conditions</t>
  </si>
  <si>
    <t>Limited intensity deterioration, but transition dependency and sector exposure require monitoring.</t>
  </si>
  <si>
    <t>Portfolio Intensity (tCO₂e/€m)</t>
  </si>
  <si>
    <t>Emissions intensity before the transaction.</t>
  </si>
  <si>
    <t>TX03</t>
  </si>
  <si>
    <t>Steel transition capex facility</t>
  </si>
  <si>
    <t>Transition capex facility</t>
  </si>
  <si>
    <t>Transition capex</t>
  </si>
  <si>
    <t>Electric arc furnace conversion and energy-efficiency capex</t>
  </si>
  <si>
    <t>Near-term financed emissions increase, but use of proceeds supports a lower-carbon production pathway.</t>
  </si>
  <si>
    <t>Proceed with transition covenants</t>
  </si>
  <si>
    <t>Higher marginal intensity is mitigated by transition capex use of proceeds and covenant-based monitoring.</t>
  </si>
  <si>
    <t>Weighted Data Quality Score</t>
  </si>
  <si>
    <t>Lower scores indicate stronger data quality.</t>
  </si>
  <si>
    <t>Oil &amp; Gas upstream corporate facility</t>
  </si>
  <si>
    <t>High-carbon exposure</t>
  </si>
  <si>
    <t>General corporate purposes for upstream production assets</t>
  </si>
  <si>
    <t>Raises portfolio financed emissions and increases high-carbon concentration.</t>
  </si>
  <si>
    <t>Enhanced due diligence / portfolio committee review</t>
  </si>
  <si>
    <t>Material increase in portfolio intensity, high-carbon sector exposure and weaker transition profile.</t>
  </si>
  <si>
    <t>Aligned Exposure Share</t>
  </si>
  <si>
    <t>Before-state exposure classified as aligned.</t>
  </si>
  <si>
    <t>TX05</t>
  </si>
  <si>
    <t>Real estate retrofit sustainability-linked loan</t>
  </si>
  <si>
    <t>Retrofit / efficiency</t>
  </si>
  <si>
    <t>Building-efficiency retrofit and heating-system electrification</t>
  </si>
  <si>
    <t>Adds lower-intensity exposure and improves portfolio intensity.</t>
  </si>
  <si>
    <t>Lower marginal intensity, aligned use of proceeds and strong data-quality profile.</t>
  </si>
  <si>
    <t>Partially Aligned Exposure Share</t>
  </si>
  <si>
    <t>Before-state exposure classified as partially aligned.</t>
  </si>
  <si>
    <t>Misaligned Exposure Share</t>
  </si>
  <si>
    <t>Before-state exposure classified as misaligned.</t>
  </si>
  <si>
    <t>Block D — Full Transaction Impact Calculation</t>
  </si>
  <si>
    <t>Marginal Intensity (tCO₂e/€m)</t>
  </si>
  <si>
    <t>Exposure Before (€m)</t>
  </si>
  <si>
    <t>Exposure After (€m)</t>
  </si>
  <si>
    <t>FE Before (ktCO₂e)</t>
  </si>
  <si>
    <t>FE After (ktCO₂e)</t>
  </si>
  <si>
    <t>Intensity Before (tCO₂e/€m)</t>
  </si>
  <si>
    <t>Intensity After (tCO₂e/€m)</t>
  </si>
  <si>
    <t>DQ Before</t>
  </si>
  <si>
    <t>DQ After</t>
  </si>
  <si>
    <t>Aligned Exposure After (€m)</t>
  </si>
  <si>
    <t>Partially Aligned Exposure After (€m)</t>
  </si>
  <si>
    <t>Misaligned Exposure After (€m)</t>
  </si>
  <si>
    <t>Aligned Share After</t>
  </si>
  <si>
    <t>Partially Aligned Share After</t>
  </si>
  <si>
    <t>Misaligned Share After</t>
  </si>
  <si>
    <t>Block E — Selected Transaction Impact Bridge</t>
  </si>
  <si>
    <t>Before</t>
  </si>
  <si>
    <t>Transaction Impact</t>
  </si>
  <si>
    <t>After</t>
  </si>
  <si>
    <t>Formula / Calculation Logic</t>
  </si>
  <si>
    <t>Before exposure + selected exposure added</t>
  </si>
  <si>
    <t>Before financed emissions + selected marginal FE</t>
  </si>
  <si>
    <t>After financed emissions × 1,000 / after exposure</t>
  </si>
  <si>
    <t>Exposure-weighted data-quality bridge using effective DQ contribution score</t>
  </si>
  <si>
    <t>Aligned exposure after / exposure after</t>
  </si>
  <si>
    <t>Partially aligned exposure after / exposure after</t>
  </si>
  <si>
    <t>Misaligned exposure after / exposure after</t>
  </si>
  <si>
    <t>08 –Data Quality</t>
  </si>
  <si>
    <t>Portfolio data quality calculation</t>
  </si>
  <si>
    <t>Portfolio Aggregated Data Quality</t>
  </si>
  <si>
    <t>Description</t>
  </si>
  <si>
    <t>Company Count</t>
  </si>
  <si>
    <t>Exposure Share</t>
  </si>
  <si>
    <t>Weighted Score</t>
  </si>
  <si>
    <t>Reported Scope 1/2/3 and company value available</t>
  </si>
  <si>
    <t>Reported Scope 1/2, estimated Scope 3</t>
  </si>
  <si>
    <t>Partial reported data, sector estimates used</t>
  </si>
  <si>
    <t>Mostly sector-estimated emissions</t>
  </si>
  <si>
    <t>Proxy-based estimate only</t>
  </si>
  <si>
    <t>Assumptions and Methodological References</t>
  </si>
  <si>
    <t>Category</t>
  </si>
  <si>
    <t>Assumption / Source</t>
  </si>
  <si>
    <t>Synthetic data</t>
  </si>
  <si>
    <t>All counterparties and values are fictional and used for a portfolio analytics case study.</t>
  </si>
  <si>
    <t>Raw input boundary</t>
  </si>
  <si>
    <t>Portfolio input contains economic, carbon and transition drivers; financed emissions, contribution rank and alignment status are calculated downstream.</t>
  </si>
  <si>
    <t>EVIC valuation bridge</t>
  </si>
  <si>
    <t>EVIC formula</t>
  </si>
  <si>
    <t>Blended EVIC proxy = average of revenue-based EV and EBITDA-based EV.</t>
  </si>
  <si>
    <t>Attribution</t>
  </si>
  <si>
    <t>Bank exposure / EVIC proxy.</t>
  </si>
  <si>
    <t>Financed emissions</t>
  </si>
  <si>
    <t>Attribution factor × company total emissions.</t>
  </si>
  <si>
    <t>Concentration analysis</t>
  </si>
  <si>
    <t>Top 10 contributors are derived by ranking calculated financed emissions in descending order.</t>
  </si>
  <si>
    <t>Data quality</t>
  </si>
  <si>
    <t>Simplified 1–5 score: 1 is stronger reported data, 5 is more modelled data.</t>
  </si>
  <si>
    <t>Pathway model</t>
  </si>
  <si>
    <t>Simplified sector pathway references; no official alignment claim.</t>
  </si>
  <si>
    <t>Reference</t>
  </si>
  <si>
    <t>https://carbonaccountingfinancials.com/standard</t>
  </si>
  <si>
    <t>https://ghgprotocol.org/sites/default/files/2022-12/Chapter15.pdf</t>
  </si>
  <si>
    <t>https://www.iea.org/reports/global-energy-and-climate-model/net-zero-emissions-by-2050-scenario-nze</t>
  </si>
  <si>
    <t>https://sciencebasedtargets.org/financial-institutions</t>
  </si>
  <si>
    <t>Boundary</t>
  </si>
  <si>
    <t>Not a reporting tool, not investment advice, not a credit decision and not a regulatory disclosure tool.</t>
  </si>
  <si>
    <t>Operating Enterprise Value is calculated from selected EV / Revenue and EV / EBITDA multiples; EVIC Proxy adds Cash &amp; Short-Term Investments.</t>
  </si>
  <si>
    <t>EVIC claim boundary</t>
  </si>
  <si>
    <t>EVIC Proxy is a synthetic company-value proxy for PCAF-inspired attribution; it is not official reported EVIC.</t>
  </si>
  <si>
    <t>Cash adjustment</t>
  </si>
  <si>
    <t>Cash &amp; Short-Term Investments is an input assumption used to approximate the “including cash” element of EVIC.</t>
  </si>
  <si>
    <t>SBTi-informed pathway bridge</t>
  </si>
  <si>
    <t>2030 sector benchmark uses a 4.2% annual anchor adjusted by sector pressure, readiness, maturity roll-off and revenue-mix drivers.</t>
  </si>
  <si>
    <t>Long-term scenario engine</t>
  </si>
  <si>
    <t>Sector-level pathway allocation uses emissions weights, alignment stress, readiness and lock-in before portfolio aggregation.</t>
  </si>
  <si>
    <t>Synthetic target status</t>
  </si>
  <si>
    <t>Synthetic target status is a case-study target-readiness field and is not an SBTi validation status.</t>
  </si>
  <si>
    <t>Pathway claim boundary</t>
  </si>
  <si>
    <t>Simplified analytical reference only; not validated by SBTi, not a regulatory disclosure tool, not a credit decision tool.</t>
  </si>
  <si>
    <t>QA Checks</t>
  </si>
  <si>
    <t>Formula</t>
  </si>
  <si>
    <t>Status</t>
  </si>
  <si>
    <t>Raw input excludes Top 10 flag</t>
  </si>
  <si>
    <t>Raw input excludes alignment status</t>
  </si>
  <si>
    <t>60 synthetic counterparties</t>
  </si>
  <si>
    <t>11 sectors represented</t>
  </si>
  <si>
    <t>Total exposure = 4,820 €m</t>
  </si>
  <si>
    <t>Total financed emissions = 8,100 ktCO₂e</t>
  </si>
  <si>
    <t>Portfolio intensity = 1,681</t>
  </si>
  <si>
    <t>Top 10 concentration = 59.6%</t>
  </si>
  <si>
    <t>Aligned exposure share = 28.4%</t>
  </si>
  <si>
    <t>Partially aligned exposure share = 37.0%</t>
  </si>
  <si>
    <t>Misaligned exposure share = 34.6%</t>
  </si>
  <si>
    <t>EVIC operating EV + cash bridge ties</t>
  </si>
  <si>
    <t>All checks</t>
  </si>
  <si>
    <t>Exposure</t>
  </si>
  <si>
    <t>Company</t>
  </si>
  <si>
    <t>Gap %</t>
  </si>
  <si>
    <t>Scope</t>
  </si>
  <si>
    <t>Share</t>
  </si>
  <si>
    <t>Alignment</t>
  </si>
  <si>
    <t>Selected TX</t>
  </si>
  <si>
    <t>Name</t>
  </si>
  <si>
    <t>Exposure added</t>
  </si>
  <si>
    <t>Marginal FE</t>
  </si>
  <si>
    <t>Intensity delta</t>
  </si>
  <si>
    <t>DQ after</t>
  </si>
  <si>
    <t>Alignment impact</t>
  </si>
  <si>
    <t>Marginal intensity</t>
  </si>
  <si>
    <t>Intensity after</t>
  </si>
  <si>
    <t>Scope 1</t>
  </si>
  <si>
    <t>Scope 2</t>
  </si>
  <si>
    <t>Scope 3</t>
  </si>
  <si>
    <t>01 | Where the carbon sits</t>
  </si>
  <si>
    <t>02 | Portfolio pathway index</t>
  </si>
  <si>
    <t>03 | Concentration by counterparty</t>
  </si>
  <si>
    <t>04 | Gap to 2030 target</t>
  </si>
  <si>
    <t>05 | Mix</t>
  </si>
  <si>
    <t>06 | Selected transaction impact</t>
  </si>
  <si>
    <t>Scope split</t>
  </si>
  <si>
    <t>Alignment mix</t>
  </si>
  <si>
    <t>Partial</t>
  </si>
  <si>
    <t>Formula-linked dashboard view. Recommendations are illustrative analytical outputs, not credit decisions.</t>
  </si>
  <si>
    <t>CIB ESG Metrics Lab – Portfolio Climate Dashboard</t>
  </si>
  <si>
    <t>10 – Assumptions</t>
  </si>
  <si>
    <t>Model assumptions</t>
  </si>
  <si>
    <t>11 – QA Checks</t>
  </si>
  <si>
    <t>00 – Cover</t>
  </si>
  <si>
    <t>09 –Dashboard</t>
  </si>
  <si>
    <t>Key results</t>
  </si>
  <si>
    <t>Sanity checks</t>
  </si>
  <si>
    <r>
      <rPr>
        <sz val="11"/>
        <color rgb="FF0000FF"/>
        <rFont val="Carlito"/>
      </rPr>
      <t>Blue font</t>
    </r>
    <r>
      <rPr>
        <sz val="11"/>
        <rFont val="Carlito"/>
      </rPr>
      <t xml:space="preserve"> = hardcoded inputs; black font = formulas; </t>
    </r>
    <r>
      <rPr>
        <sz val="11"/>
        <color rgb="FF008001"/>
        <rFont val="Carlito"/>
      </rPr>
      <t>green font</t>
    </r>
    <r>
      <rPr>
        <sz val="11"/>
        <rFont val="Carlito"/>
      </rPr>
      <t xml:space="preserve"> = internal worksheet links, yellow fill color = assumptions</t>
    </r>
  </si>
  <si>
    <t>Portfolio input stores raw exposure, company and emissions drivers only; analytical labels and KPIs are calculated downstream.</t>
  </si>
  <si>
    <t>Input governance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</si>
</sst>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164" formatCode="#,##0.0;[Red]\(#,##0.0\);\-"/>
    <numFmt numFmtId="165" formatCode="0.0%"/>
    <numFmt numFmtId="166" formatCode="#,##0;[Red]\(#,##0\);\-"/>
    <numFmt numFmtId="167" formatCode="0.0"/>
    <numFmt numFmtId="168" formatCode="#,##0.00;[Red]\(#,##0.00\);\-"/>
    <numFmt numFmtId="169" formatCode="0.0%;[Red]\(0.0%\);\-"/>
    <numFmt numFmtId="170" formatCode="0.00\x;[Red]\(0.00\x\);\-"/>
    <numFmt numFmtId="171" formatCode="0.0&quot;%&quot;"/>
    <numFmt numFmtId="172" formatCode="0.0\x;[Red]\(0.0\x\);\-"/>
    <numFmt numFmtId="173" formatCode="0.0\x"/>
    <numFmt numFmtId="174" formatCode="0.00;[Red]\(0.00\);\-"/>
    <numFmt numFmtId="175" formatCode="0.0;[Red]\(0.0\);\-"/>
    <numFmt numFmtId="176" formatCode="0.000;[Red]\(0.000\);\-"/>
    <numFmt numFmtId="177" formatCode="\+0;[Red]\(0\);\-"/>
  </numFmts>
  <fonts count="41">
    <font>
      <sz val="11"/>
      <name val="Carlito"/>
    </font>
    <font>
      <b/>
      <sz val="16"/>
      <color rgb="FFFFFFFF"/>
      <name val="Carlito"/>
    </font>
    <font>
      <b/>
      <sz val="11"/>
      <color rgb="FFFFFFFF"/>
      <name val="Carlito"/>
    </font>
    <font>
      <sz val="11"/>
      <color rgb="FF0000FF"/>
      <name val="Carlito"/>
    </font>
    <font>
      <sz val="11"/>
      <color rgb="FF000000"/>
      <name val="Carlito"/>
    </font>
    <font>
      <b/>
      <sz val="11"/>
      <color rgb="FF0000FF"/>
      <name val="Carlito"/>
    </font>
    <font>
      <b/>
      <sz val="11"/>
      <color rgb="FF000000"/>
      <name val="Carlito"/>
    </font>
    <font>
      <b/>
      <sz val="14"/>
      <color rgb="FFFFFFFF"/>
      <name val="Carlito"/>
    </font>
    <font>
      <b/>
      <sz val="11"/>
      <name val="Carlito"/>
    </font>
    <font>
      <sz val="11"/>
      <color rgb="FF008000"/>
      <name val="Carlito"/>
    </font>
    <font>
      <b/>
      <sz val="13"/>
      <color rgb="FFFFFFFF"/>
      <name val="Carlito"/>
    </font>
    <font>
      <i/>
      <sz val="11"/>
      <color rgb="FF1F4E78"/>
      <name val="Carlito"/>
    </font>
    <font>
      <b/>
      <sz val="11"/>
      <color rgb="FF7F6000"/>
      <name val="Carlito"/>
    </font>
    <font>
      <b/>
      <sz val="11"/>
      <color rgb="FF006100"/>
      <name val="Carlito"/>
    </font>
    <font>
      <sz val="11"/>
      <color rgb="FF000000"/>
      <name val="Carlito"/>
    </font>
    <font>
      <sz val="11"/>
      <color rgb="FF0000FF"/>
      <name val="Carlito"/>
    </font>
    <font>
      <sz val="11"/>
      <color rgb="FF2C29F6"/>
      <name val="Carlito"/>
    </font>
    <font>
      <sz val="11"/>
      <color theme="1"/>
      <name val="Carlito"/>
    </font>
    <font>
      <i/>
      <sz val="11"/>
      <color rgb="FF1F1F1F"/>
      <name val="Carlito"/>
    </font>
    <font>
      <sz val="11"/>
      <name val="Carlito"/>
    </font>
    <font>
      <b/>
      <sz val="20"/>
      <color rgb="FFFFFFFF"/>
      <name val="Carlito"/>
    </font>
    <font>
      <b/>
      <sz val="22"/>
      <color rgb="FFFFFFFF"/>
      <name val="Carlito"/>
    </font>
    <font>
      <sz val="11"/>
      <color rgb="FF008001"/>
      <name val="Carlito"/>
    </font>
    <font>
      <b/>
      <sz val="18"/>
      <color rgb="FFFFFFFF"/>
      <name val="Aptos Display"/>
    </font>
    <font>
      <sz val="10"/>
      <color rgb="FFCBD5E1"/>
      <name val="Aptos"/>
    </font>
    <font>
      <sz val="9"/>
      <color rgb="FF64748B"/>
      <name val="Aptos"/>
    </font>
    <font>
      <b/>
      <sz val="10"/>
      <color rgb="FFFFFFFF"/>
      <name val="Aptos"/>
    </font>
    <font>
      <b/>
      <sz val="9"/>
      <color rgb="FF081F3A"/>
      <name val="Aptos"/>
    </font>
    <font>
      <sz val="9"/>
      <color rgb="FF2F5597"/>
      <name val="Aptos"/>
    </font>
    <font>
      <sz val="9"/>
      <color rgb="FF1F7A8C"/>
      <name val="Aptos"/>
    </font>
    <font>
      <sz val="9"/>
      <color rgb="FFA16207"/>
      <name val="Aptos"/>
    </font>
    <font>
      <sz val="9"/>
      <color rgb="FF2F7D32"/>
      <name val="Aptos"/>
    </font>
    <font>
      <sz val="9"/>
      <color rgb="FFB23B3B"/>
      <name val="Aptos"/>
    </font>
    <font>
      <sz val="9"/>
      <color rgb="FF111827"/>
      <name val="Aptos"/>
    </font>
    <font>
      <b/>
      <sz val="10"/>
      <color rgb="FF081F3A"/>
      <name val="Aptos"/>
    </font>
    <font>
      <b/>
      <sz val="13"/>
      <color rgb="FF081F3A"/>
      <name val="Aptos Display"/>
    </font>
    <font>
      <sz val="1"/>
      <color rgb="FFFFFFFF"/>
      <name val="Carlito"/>
    </font>
    <font>
      <sz val="11"/>
      <color rgb="FF111827"/>
      <name val="Aptos"/>
    </font>
    <font>
      <i/>
      <sz val="8"/>
      <color rgb="FF64748B"/>
      <name val="Aptos"/>
    </font>
    <font>
      <b/>
      <sz val="11"/>
      <color rgb="FF081F3A"/>
      <name val="Aptos"/>
    </font>
    <font>
      <sz val="11"/>
      <color rgb="FF0A1F32"/>
      <name val="Aptos"/>
    </font>
  </fonts>
  <fills count="29">
    <fill>
      <patternFill patternType="none"/>
    </fill>
    <fill>
      <patternFill patternType="gray125"/>
    </fill>
    <fill>
      <patternFill patternType="solid">
        <fgColor rgb="FF0B1F33"/>
      </patternFill>
    </fill>
    <fill>
      <patternFill patternType="solid">
        <fgColor rgb="FFD9EAF7"/>
      </patternFill>
    </fill>
    <fill>
      <patternFill patternType="solid">
        <fgColor rgb="FF0B1F33"/>
      </patternFill>
    </fill>
    <fill>
      <patternFill patternType="solid">
        <fgColor rgb="FF1F4E78"/>
      </patternFill>
    </fill>
    <fill>
      <patternFill patternType="solid">
        <fgColor rgb="FF0B1F33"/>
      </patternFill>
    </fill>
    <fill>
      <patternFill patternType="solid">
        <fgColor rgb="FFEAF3F8"/>
      </patternFill>
    </fill>
    <fill>
      <patternFill patternType="solid">
        <fgColor rgb="FFFFF2CC"/>
      </patternFill>
    </fill>
    <fill>
      <patternFill patternType="solid">
        <fgColor rgb="FF1F4E78"/>
      </patternFill>
    </fill>
    <fill>
      <patternFill patternType="solid">
        <fgColor rgb="FF0B1F33"/>
      </patternFill>
    </fill>
    <fill>
      <patternFill patternType="solid">
        <fgColor rgb="FF1F4E78"/>
      </patternFill>
    </fill>
    <fill>
      <patternFill patternType="solid">
        <fgColor rgb="FF1F4E78"/>
      </patternFill>
    </fill>
    <fill>
      <patternFill patternType="solid">
        <fgColor rgb="FFFFF3CC"/>
      </patternFill>
    </fill>
    <fill>
      <patternFill patternType="solid">
        <fgColor theme="0" tint="-4.9989318521683403E-2"/>
        <bgColor indexed="65"/>
      </patternFill>
    </fill>
    <fill>
      <patternFill patternType="solid">
        <fgColor rgb="FFEEF3F8"/>
      </patternFill>
    </fill>
    <fill>
      <patternFill patternType="solid">
        <fgColor rgb="FFFFF2CC"/>
      </patternFill>
    </fill>
    <fill>
      <patternFill patternType="solid">
        <fgColor rgb="FF1F4E78"/>
      </patternFill>
    </fill>
    <fill>
      <patternFill patternType="solid">
        <fgColor rgb="FF0A1F32"/>
      </patternFill>
    </fill>
    <fill>
      <patternFill patternType="solid">
        <fgColor rgb="FF0B1F33"/>
      </patternFill>
    </fill>
    <fill>
      <patternFill patternType="solid">
        <fgColor theme="0" tint="-4.9989318521683403E-2"/>
        <bgColor indexed="65"/>
      </patternFill>
    </fill>
    <fill>
      <patternFill patternType="solid">
        <fgColor rgb="FFFFF3CC"/>
      </patternFill>
    </fill>
    <fill>
      <patternFill patternType="solid">
        <fgColor rgb="FFF5F7FA"/>
      </patternFill>
    </fill>
    <fill>
      <patternFill patternType="solid">
        <fgColor rgb="FF081F3A"/>
      </patternFill>
    </fill>
    <fill>
      <patternFill patternType="solid">
        <fgColor rgb="FFFFFFFF"/>
      </patternFill>
    </fill>
    <fill>
      <patternFill patternType="solid">
        <fgColor rgb="FF12345A"/>
      </patternFill>
    </fill>
    <fill>
      <patternFill patternType="solid">
        <fgColor rgb="FFEAF2F8"/>
      </patternFill>
    </fill>
    <fill>
      <patternFill patternType="solid">
        <fgColor rgb="FF0A1F32"/>
        <bgColor rgb="FF000000"/>
      </patternFill>
    </fill>
    <fill>
      <patternFill patternType="solid">
        <fgColor theme="0" tint="-4.9989318521683403E-2"/>
        <bgColor indexed="64"/>
      </patternFill>
    </fill>
  </fills>
  <borders count="35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/>
      <diagonal/>
    </border>
    <border>
      <left style="thin">
        <color rgb="FFD7DEE8"/>
      </left>
      <right/>
      <top style="thin">
        <color rgb="FFD7DEE8"/>
      </top>
      <bottom/>
      <diagonal/>
    </border>
    <border>
      <left/>
      <right/>
      <top style="thin">
        <color rgb="FFD7DEE8"/>
      </top>
      <bottom/>
      <diagonal/>
    </border>
    <border>
      <left/>
      <right style="thin">
        <color rgb="FFD7DEE8"/>
      </right>
      <top style="thin">
        <color rgb="FFD7DEE8"/>
      </top>
      <bottom/>
      <diagonal/>
    </border>
    <border>
      <left style="thin">
        <color rgb="FFD7DEE8"/>
      </left>
      <right/>
      <top/>
      <bottom/>
      <diagonal/>
    </border>
    <border>
      <left/>
      <right style="thin">
        <color rgb="FFD7DEE8"/>
      </right>
      <top/>
      <bottom/>
      <diagonal/>
    </border>
    <border>
      <left style="thin">
        <color rgb="FFD7DEE8"/>
      </left>
      <right/>
      <top/>
      <bottom style="thin">
        <color rgb="FFD7DEE8"/>
      </bottom>
      <diagonal/>
    </border>
    <border>
      <left/>
      <right/>
      <top/>
      <bottom style="thin">
        <color rgb="FFD7DEE8"/>
      </bottom>
      <diagonal/>
    </border>
    <border>
      <left/>
      <right style="thin">
        <color rgb="FFD7DEE8"/>
      </right>
      <top/>
      <bottom style="thin">
        <color rgb="FFD7DEE8"/>
      </bottom>
      <diagonal/>
    </border>
    <border>
      <left style="thin">
        <color rgb="FFD7DEE8"/>
      </left>
      <right/>
      <top style="thin">
        <color rgb="FFD7DEE8"/>
      </top>
      <bottom/>
      <diagonal/>
    </border>
    <border>
      <left/>
      <right/>
      <top style="thin">
        <color rgb="FFD7DEE8"/>
      </top>
      <bottom/>
      <diagonal/>
    </border>
    <border>
      <left style="thin">
        <color rgb="FFD7DEE8"/>
      </left>
      <right/>
      <top/>
      <bottom/>
      <diagonal/>
    </border>
    <border>
      <left style="thin">
        <color rgb="FFD7DEE8"/>
      </left>
      <right/>
      <top/>
      <bottom style="thin">
        <color rgb="FFD7DEE8"/>
      </bottom>
      <diagonal/>
    </border>
    <border>
      <left/>
      <right/>
      <top/>
      <bottom style="thin">
        <color rgb="FFD7DEE8"/>
      </bottom>
      <diagonal/>
    </border>
    <border>
      <left style="thin">
        <color rgb="FF12345A"/>
      </left>
      <right/>
      <top style="thin">
        <color rgb="FF12345A"/>
      </top>
      <bottom style="thin">
        <color rgb="FF12345A"/>
      </bottom>
      <diagonal/>
    </border>
    <border>
      <left/>
      <right/>
      <top style="thin">
        <color rgb="FF12345A"/>
      </top>
      <bottom style="thin">
        <color rgb="FF12345A"/>
      </bottom>
      <diagonal/>
    </border>
    <border>
      <left/>
      <right style="thin">
        <color rgb="FF12345A"/>
      </right>
      <top style="thin">
        <color rgb="FF12345A"/>
      </top>
      <bottom style="thin">
        <color rgb="FF12345A"/>
      </bottom>
      <diagonal/>
    </border>
    <border>
      <left style="thin">
        <color rgb="FF12345A"/>
      </left>
      <right/>
      <top style="thin">
        <color rgb="FF12345A"/>
      </top>
      <bottom style="thin">
        <color rgb="FF12345A"/>
      </bottom>
      <diagonal/>
    </border>
    <border>
      <left/>
      <right/>
      <top style="thin">
        <color rgb="FF12345A"/>
      </top>
      <bottom style="thin">
        <color rgb="FF12345A"/>
      </bottom>
      <diagonal/>
    </border>
    <border>
      <left/>
      <right style="thin">
        <color rgb="FF12345A"/>
      </right>
      <top style="thin">
        <color rgb="FF12345A"/>
      </top>
      <bottom style="thin">
        <color rgb="FF12345A"/>
      </bottom>
      <diagonal/>
    </border>
    <border>
      <left/>
      <right/>
      <top/>
      <bottom style="thin">
        <color theme="2" tint="-9.9978637043366805E-2"/>
      </bottom>
      <diagonal/>
    </border>
    <border>
      <left style="thin">
        <color theme="2" tint="-9.9978637043366805E-2"/>
      </left>
      <right/>
      <top style="thin">
        <color theme="2" tint="-9.9978637043366805E-2"/>
      </top>
      <bottom/>
      <diagonal/>
    </border>
    <border>
      <left/>
      <right/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/>
      <top/>
      <bottom/>
      <diagonal/>
    </border>
    <border>
      <left/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/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 style="thin">
        <color rgb="FF12345A"/>
      </top>
      <bottom style="thin">
        <color rgb="FF12345A"/>
      </bottom>
      <diagonal/>
    </border>
    <border>
      <left/>
      <right style="thin">
        <color theme="2" tint="-9.9978637043366805E-2"/>
      </right>
      <top style="thin">
        <color rgb="FFD7DEE8"/>
      </top>
      <bottom/>
      <diagonal/>
    </border>
    <border>
      <left/>
      <right style="thin">
        <color theme="2" tint="-9.9978637043366805E-2"/>
      </right>
      <top/>
      <bottom style="thin">
        <color rgb="FFD7DEE8"/>
      </bottom>
      <diagonal/>
    </border>
  </borders>
  <cellStyleXfs count="2">
    <xf numFmtId="0" fontId="0" fillId="0" borderId="0"/>
    <xf numFmtId="9" fontId="19" fillId="0" borderId="0" applyFont="0" applyFill="0" applyBorder="0" applyAlignment="0" applyProtection="0"/>
  </cellStyleXfs>
  <cellXfs count="277">
    <xf numFmtId="0" fontId="0" fillId="0" borderId="0" xfId="0"/>
    <xf numFmtId="0" fontId="0" fillId="0" borderId="0" xfId="0" applyAlignment="1">
      <alignment wrapText="1"/>
    </xf>
    <xf numFmtId="164" fontId="4" fillId="0" borderId="0" xfId="0" applyNumberFormat="1" applyFont="1" applyAlignment="1">
      <alignment wrapText="1"/>
    </xf>
    <xf numFmtId="165" fontId="4" fillId="0" borderId="0" xfId="0" applyNumberFormat="1" applyFont="1" applyAlignment="1">
      <alignment wrapText="1"/>
    </xf>
    <xf numFmtId="0" fontId="4" fillId="0" borderId="0" xfId="0" applyFont="1" applyAlignment="1">
      <alignment wrapText="1"/>
    </xf>
    <xf numFmtId="166" fontId="4" fillId="0" borderId="0" xfId="0" applyNumberFormat="1" applyFont="1" applyAlignment="1">
      <alignment wrapText="1"/>
    </xf>
    <xf numFmtId="167" fontId="4" fillId="0" borderId="0" xfId="0" applyNumberFormat="1" applyFont="1" applyAlignment="1">
      <alignment wrapText="1"/>
    </xf>
    <xf numFmtId="1" fontId="4" fillId="0" borderId="0" xfId="0" applyNumberFormat="1" applyFont="1" applyAlignment="1">
      <alignment wrapText="1"/>
    </xf>
    <xf numFmtId="0" fontId="6" fillId="0" borderId="0" xfId="0" applyFont="1" applyAlignment="1">
      <alignment wrapText="1"/>
    </xf>
    <xf numFmtId="0" fontId="9" fillId="0" borderId="0" xfId="0" applyFont="1" applyAlignment="1">
      <alignment wrapText="1"/>
    </xf>
    <xf numFmtId="164" fontId="9" fillId="0" borderId="0" xfId="0" applyNumberFormat="1" applyFont="1" applyAlignment="1">
      <alignment wrapText="1"/>
    </xf>
    <xf numFmtId="0" fontId="4" fillId="0" borderId="0" xfId="0" applyFont="1"/>
    <xf numFmtId="169" fontId="4" fillId="0" borderId="0" xfId="0" applyNumberFormat="1" applyFont="1" applyAlignment="1">
      <alignment wrapText="1"/>
    </xf>
    <xf numFmtId="0" fontId="2" fillId="5" borderId="0" xfId="0" applyFont="1" applyFill="1" applyAlignment="1">
      <alignment horizontal="center" vertical="center" wrapText="1"/>
    </xf>
    <xf numFmtId="164" fontId="2" fillId="5" borderId="0" xfId="0" applyNumberFormat="1" applyFont="1" applyFill="1" applyAlignment="1">
      <alignment horizontal="center" vertical="center" wrapText="1"/>
    </xf>
    <xf numFmtId="165" fontId="2" fillId="5" borderId="0" xfId="0" applyNumberFormat="1" applyFont="1" applyFill="1" applyAlignment="1">
      <alignment horizontal="center" vertical="center" wrapText="1"/>
    </xf>
    <xf numFmtId="172" fontId="2" fillId="5" borderId="0" xfId="0" applyNumberFormat="1" applyFont="1" applyFill="1" applyAlignment="1">
      <alignment horizontal="center" vertical="center" wrapText="1"/>
    </xf>
    <xf numFmtId="166" fontId="2" fillId="5" borderId="0" xfId="0" applyNumberFormat="1" applyFont="1" applyFill="1" applyAlignment="1">
      <alignment horizontal="center" vertical="center" wrapText="1"/>
    </xf>
    <xf numFmtId="171" fontId="2" fillId="5" borderId="0" xfId="0" applyNumberFormat="1" applyFont="1" applyFill="1" applyAlignment="1">
      <alignment horizontal="center" vertical="center" wrapText="1"/>
    </xf>
    <xf numFmtId="49" fontId="2" fillId="5" borderId="0" xfId="0" applyNumberFormat="1" applyFont="1" applyFill="1" applyAlignment="1">
      <alignment horizontal="center" vertical="center" wrapText="1"/>
    </xf>
    <xf numFmtId="169" fontId="2" fillId="5" borderId="0" xfId="0" applyNumberFormat="1" applyFont="1" applyFill="1" applyAlignment="1">
      <alignment horizontal="center" vertical="center" wrapText="1"/>
    </xf>
    <xf numFmtId="0" fontId="7" fillId="6" borderId="0" xfId="0" applyFont="1" applyFill="1" applyAlignment="1">
      <alignment horizontal="center" vertical="center" wrapText="1"/>
    </xf>
    <xf numFmtId="0" fontId="7" fillId="6" borderId="0" xfId="0" applyFont="1" applyFill="1" applyAlignment="1">
      <alignment wrapText="1"/>
    </xf>
    <xf numFmtId="0" fontId="7" fillId="6" borderId="0" xfId="0" applyFont="1" applyFill="1"/>
    <xf numFmtId="0" fontId="11" fillId="7" borderId="0" xfId="0" applyFont="1" applyFill="1" applyAlignment="1">
      <alignment wrapText="1"/>
    </xf>
    <xf numFmtId="166" fontId="11" fillId="7" borderId="0" xfId="0" applyNumberFormat="1" applyFont="1" applyFill="1" applyAlignment="1">
      <alignment wrapText="1"/>
    </xf>
    <xf numFmtId="168" fontId="11" fillId="7" borderId="0" xfId="0" applyNumberFormat="1" applyFont="1" applyFill="1" applyAlignment="1">
      <alignment wrapText="1"/>
    </xf>
    <xf numFmtId="9" fontId="11" fillId="7" borderId="0" xfId="0" applyNumberFormat="1" applyFont="1" applyFill="1" applyAlignment="1">
      <alignment wrapText="1"/>
    </xf>
    <xf numFmtId="0" fontId="2" fillId="6" borderId="0" xfId="0" applyFont="1" applyFill="1" applyAlignment="1">
      <alignment horizontal="left" vertical="center" wrapText="1"/>
    </xf>
    <xf numFmtId="166" fontId="2" fillId="6" borderId="0" xfId="0" applyNumberFormat="1" applyFont="1" applyFill="1" applyAlignment="1">
      <alignment horizontal="left" vertical="center" wrapText="1"/>
    </xf>
    <xf numFmtId="168" fontId="2" fillId="6" borderId="0" xfId="0" applyNumberFormat="1" applyFont="1" applyFill="1" applyAlignment="1">
      <alignment horizontal="left" vertical="center" wrapText="1"/>
    </xf>
    <xf numFmtId="9" fontId="2" fillId="6" borderId="0" xfId="0" applyNumberFormat="1" applyFont="1" applyFill="1" applyAlignment="1">
      <alignment horizontal="left" vertical="center" wrapText="1"/>
    </xf>
    <xf numFmtId="0" fontId="2" fillId="6" borderId="0" xfId="0" applyFont="1" applyFill="1" applyAlignment="1">
      <alignment horizontal="left" vertical="center"/>
    </xf>
    <xf numFmtId="169" fontId="3" fillId="8" borderId="0" xfId="0" applyNumberFormat="1" applyFont="1" applyFill="1" applyAlignment="1">
      <alignment wrapText="1"/>
    </xf>
    <xf numFmtId="0" fontId="11" fillId="7" borderId="0" xfId="0" applyFont="1" applyFill="1"/>
    <xf numFmtId="0" fontId="2" fillId="10" borderId="0" xfId="0" applyFont="1" applyFill="1" applyAlignment="1">
      <alignment horizontal="left" vertical="center" wrapText="1"/>
    </xf>
    <xf numFmtId="0" fontId="2" fillId="11" borderId="0" xfId="0" applyFont="1" applyFill="1" applyAlignment="1">
      <alignment horizontal="center" vertical="center" wrapText="1"/>
    </xf>
    <xf numFmtId="169" fontId="2" fillId="11" borderId="0" xfId="0" applyNumberFormat="1" applyFont="1" applyFill="1" applyAlignment="1">
      <alignment horizontal="center" vertical="center" wrapText="1"/>
    </xf>
    <xf numFmtId="166" fontId="2" fillId="11" borderId="0" xfId="0" applyNumberFormat="1" applyFont="1" applyFill="1" applyAlignment="1">
      <alignment horizontal="center" vertical="center" wrapText="1"/>
    </xf>
    <xf numFmtId="169" fontId="2" fillId="10" borderId="0" xfId="0" applyNumberFormat="1" applyFont="1" applyFill="1" applyAlignment="1">
      <alignment horizontal="left" vertical="center" wrapText="1"/>
    </xf>
    <xf numFmtId="174" fontId="2" fillId="10" borderId="0" xfId="0" applyNumberFormat="1" applyFont="1" applyFill="1" applyAlignment="1">
      <alignment horizontal="left" vertical="center" wrapText="1"/>
    </xf>
    <xf numFmtId="166" fontId="2" fillId="10" borderId="0" xfId="0" applyNumberFormat="1" applyFont="1" applyFill="1" applyAlignment="1">
      <alignment horizontal="left" vertical="center" wrapText="1"/>
    </xf>
    <xf numFmtId="0" fontId="2" fillId="10" borderId="0" xfId="0" applyFont="1" applyFill="1" applyAlignment="1">
      <alignment horizontal="left" vertical="center"/>
    </xf>
    <xf numFmtId="0" fontId="3" fillId="8" borderId="0" xfId="0" applyFont="1" applyFill="1" applyAlignment="1">
      <alignment wrapText="1"/>
    </xf>
    <xf numFmtId="170" fontId="16" fillId="13" borderId="0" xfId="0" applyNumberFormat="1" applyFont="1" applyFill="1" applyAlignment="1">
      <alignment vertical="center" wrapText="1"/>
    </xf>
    <xf numFmtId="174" fontId="4" fillId="0" borderId="0" xfId="0" applyNumberFormat="1" applyFont="1" applyAlignment="1">
      <alignment wrapText="1"/>
    </xf>
    <xf numFmtId="0" fontId="13" fillId="0" borderId="0" xfId="0" applyFont="1" applyAlignment="1">
      <alignment wrapText="1"/>
    </xf>
    <xf numFmtId="0" fontId="17" fillId="0" borderId="0" xfId="0" applyFont="1" applyAlignment="1">
      <alignment vertical="center" wrapText="1"/>
    </xf>
    <xf numFmtId="169" fontId="14" fillId="0" borderId="0" xfId="0" applyNumberFormat="1" applyFont="1" applyAlignment="1">
      <alignment vertical="center" wrapText="1"/>
    </xf>
    <xf numFmtId="170" fontId="14" fillId="0" borderId="0" xfId="0" applyNumberFormat="1" applyFont="1" applyAlignment="1">
      <alignment vertical="center" wrapText="1"/>
    </xf>
    <xf numFmtId="166" fontId="4" fillId="0" borderId="0" xfId="0" applyNumberFormat="1" applyFont="1" applyAlignment="1">
      <alignment vertical="top"/>
    </xf>
    <xf numFmtId="166" fontId="14" fillId="0" borderId="0" xfId="0" applyNumberFormat="1" applyFont="1" applyAlignment="1">
      <alignment vertical="top"/>
    </xf>
    <xf numFmtId="175" fontId="14" fillId="0" borderId="0" xfId="0" applyNumberFormat="1" applyFont="1" applyAlignment="1">
      <alignment vertical="center" wrapText="1"/>
    </xf>
    <xf numFmtId="166" fontId="14" fillId="0" borderId="0" xfId="0" applyNumberFormat="1" applyFont="1" applyAlignment="1">
      <alignment vertical="center" wrapText="1"/>
    </xf>
    <xf numFmtId="0" fontId="14" fillId="0" borderId="0" xfId="0" applyFont="1" applyAlignment="1">
      <alignment vertical="center" wrapText="1"/>
    </xf>
    <xf numFmtId="0" fontId="14" fillId="0" borderId="0" xfId="0" applyFont="1" applyAlignment="1">
      <alignment vertical="top"/>
    </xf>
    <xf numFmtId="174" fontId="4" fillId="14" borderId="0" xfId="0" applyNumberFormat="1" applyFont="1" applyFill="1" applyAlignment="1">
      <alignment wrapText="1"/>
    </xf>
    <xf numFmtId="169" fontId="4" fillId="14" borderId="0" xfId="0" applyNumberFormat="1" applyFont="1" applyFill="1" applyAlignment="1">
      <alignment wrapText="1"/>
    </xf>
    <xf numFmtId="0" fontId="4" fillId="14" borderId="0" xfId="0" applyFont="1" applyFill="1" applyAlignment="1">
      <alignment wrapText="1"/>
    </xf>
    <xf numFmtId="169" fontId="14" fillId="14" borderId="0" xfId="0" applyNumberFormat="1" applyFont="1" applyFill="1" applyAlignment="1">
      <alignment vertical="center" wrapText="1"/>
    </xf>
    <xf numFmtId="175" fontId="14" fillId="14" borderId="0" xfId="0" applyNumberFormat="1" applyFont="1" applyFill="1" applyAlignment="1">
      <alignment vertical="center" wrapText="1"/>
    </xf>
    <xf numFmtId="176" fontId="14" fillId="14" borderId="0" xfId="0" applyNumberFormat="1" applyFont="1" applyFill="1" applyAlignment="1">
      <alignment vertical="center" wrapText="1"/>
    </xf>
    <xf numFmtId="0" fontId="15" fillId="0" borderId="0" xfId="0" applyFont="1" applyAlignment="1">
      <alignment vertical="center" wrapText="1"/>
    </xf>
    <xf numFmtId="175" fontId="16" fillId="14" borderId="0" xfId="0" applyNumberFormat="1" applyFont="1" applyFill="1" applyAlignment="1">
      <alignment vertical="center" wrapText="1"/>
    </xf>
    <xf numFmtId="0" fontId="4" fillId="0" borderId="0" xfId="0" applyFont="1" applyAlignment="1">
      <alignment vertical="top"/>
    </xf>
    <xf numFmtId="0" fontId="4" fillId="0" borderId="0" xfId="0" applyFont="1" applyAlignment="1">
      <alignment vertical="top" wrapText="1"/>
    </xf>
    <xf numFmtId="0" fontId="2" fillId="9" borderId="0" xfId="0" applyFont="1" applyFill="1" applyAlignment="1">
      <alignment horizontal="center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3" fillId="0" borderId="0" xfId="0" applyFont="1" applyAlignment="1">
      <alignment vertical="top" wrapText="1"/>
    </xf>
    <xf numFmtId="166" fontId="3" fillId="0" borderId="0" xfId="0" applyNumberFormat="1" applyFont="1" applyAlignment="1">
      <alignment vertical="top" wrapText="1"/>
    </xf>
    <xf numFmtId="168" fontId="3" fillId="0" borderId="0" xfId="0" applyNumberFormat="1" applyFont="1" applyAlignment="1">
      <alignment vertical="top" wrapText="1"/>
    </xf>
    <xf numFmtId="9" fontId="3" fillId="0" borderId="0" xfId="0" applyNumberFormat="1" applyFont="1" applyAlignment="1">
      <alignment vertical="top" wrapText="1"/>
    </xf>
    <xf numFmtId="0" fontId="7" fillId="6" borderId="0" xfId="0" applyFont="1" applyFill="1" applyAlignment="1">
      <alignment horizontal="left"/>
    </xf>
    <xf numFmtId="0" fontId="0" fillId="0" borderId="1" xfId="0" applyBorder="1"/>
    <xf numFmtId="0" fontId="18" fillId="15" borderId="0" xfId="0" applyFont="1" applyFill="1" applyAlignment="1">
      <alignment wrapText="1"/>
    </xf>
    <xf numFmtId="0" fontId="5" fillId="16" borderId="0" xfId="0" applyFont="1" applyFill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164" fontId="3" fillId="0" borderId="0" xfId="0" applyNumberFormat="1" applyFont="1" applyAlignment="1">
      <alignment vertical="top" wrapText="1"/>
    </xf>
    <xf numFmtId="164" fontId="4" fillId="0" borderId="0" xfId="0" applyNumberFormat="1" applyFont="1" applyAlignment="1">
      <alignment vertical="top" wrapText="1"/>
    </xf>
    <xf numFmtId="166" fontId="4" fillId="0" borderId="0" xfId="0" applyNumberFormat="1" applyFont="1" applyAlignment="1">
      <alignment vertical="top" wrapText="1"/>
    </xf>
    <xf numFmtId="169" fontId="4" fillId="0" borderId="0" xfId="0" applyNumberFormat="1" applyFont="1" applyAlignment="1">
      <alignment vertical="top" wrapText="1"/>
    </xf>
    <xf numFmtId="174" fontId="4" fillId="0" borderId="0" xfId="0" applyNumberFormat="1" applyFont="1" applyAlignment="1">
      <alignment vertical="top" wrapText="1"/>
    </xf>
    <xf numFmtId="0" fontId="2" fillId="18" borderId="0" xfId="0" applyFont="1" applyFill="1" applyAlignment="1">
      <alignment vertical="center"/>
    </xf>
    <xf numFmtId="0" fontId="2" fillId="18" borderId="0" xfId="0" applyFont="1" applyFill="1" applyAlignment="1">
      <alignment vertical="center" wrapText="1"/>
    </xf>
    <xf numFmtId="0" fontId="0" fillId="18" borderId="0" xfId="0" applyFill="1"/>
    <xf numFmtId="166" fontId="9" fillId="0" borderId="0" xfId="0" applyNumberFormat="1" applyFont="1" applyAlignment="1">
      <alignment vertical="top" wrapText="1"/>
    </xf>
    <xf numFmtId="174" fontId="9" fillId="0" borderId="0" xfId="0" applyNumberFormat="1" applyFont="1" applyAlignment="1">
      <alignment vertical="top" wrapText="1"/>
    </xf>
    <xf numFmtId="169" fontId="9" fillId="0" borderId="0" xfId="0" applyNumberFormat="1" applyFont="1" applyAlignment="1">
      <alignment vertical="top" wrapText="1"/>
    </xf>
    <xf numFmtId="164" fontId="4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74" fontId="4" fillId="0" borderId="0" xfId="0" applyNumberFormat="1" applyFont="1" applyAlignment="1">
      <alignment vertical="top"/>
    </xf>
    <xf numFmtId="0" fontId="2" fillId="17" borderId="0" xfId="0" applyFont="1" applyFill="1" applyAlignment="1">
      <alignment horizontal="left" vertical="center"/>
    </xf>
    <xf numFmtId="0" fontId="6" fillId="0" borderId="0" xfId="0" applyFont="1" applyAlignment="1">
      <alignment horizontal="left"/>
    </xf>
    <xf numFmtId="0" fontId="2" fillId="9" borderId="0" xfId="0" applyFont="1" applyFill="1" applyAlignment="1">
      <alignment horizontal="left" vertical="top" wrapText="1"/>
    </xf>
    <xf numFmtId="166" fontId="2" fillId="9" borderId="0" xfId="0" applyNumberFormat="1" applyFont="1" applyFill="1" applyAlignment="1">
      <alignment horizontal="left" vertical="top" wrapText="1"/>
    </xf>
    <xf numFmtId="168" fontId="2" fillId="9" borderId="0" xfId="0" applyNumberFormat="1" applyFont="1" applyFill="1" applyAlignment="1">
      <alignment horizontal="left" vertical="top" wrapText="1"/>
    </xf>
    <xf numFmtId="9" fontId="2" fillId="9" borderId="0" xfId="0" applyNumberFormat="1" applyFont="1" applyFill="1" applyAlignment="1">
      <alignment horizontal="left" vertical="top" wrapText="1"/>
    </xf>
    <xf numFmtId="0" fontId="2" fillId="17" borderId="0" xfId="0" applyFont="1" applyFill="1" applyAlignment="1">
      <alignment horizontal="left" vertical="center" wrapText="1"/>
    </xf>
    <xf numFmtId="0" fontId="2" fillId="9" borderId="0" xfId="0" applyFont="1" applyFill="1" applyAlignment="1">
      <alignment horizontal="left" vertical="center" wrapText="1"/>
    </xf>
    <xf numFmtId="0" fontId="2" fillId="12" borderId="0" xfId="0" applyFont="1" applyFill="1" applyAlignment="1">
      <alignment horizontal="left" vertical="center" wrapText="1"/>
    </xf>
    <xf numFmtId="169" fontId="2" fillId="12" borderId="0" xfId="0" applyNumberFormat="1" applyFont="1" applyFill="1" applyAlignment="1">
      <alignment horizontal="left" vertical="center" wrapText="1"/>
    </xf>
    <xf numFmtId="174" fontId="2" fillId="12" borderId="0" xfId="0" applyNumberFormat="1" applyFont="1" applyFill="1" applyAlignment="1">
      <alignment horizontal="left" vertical="center" wrapText="1"/>
    </xf>
    <xf numFmtId="166" fontId="2" fillId="12" borderId="0" xfId="0" applyNumberFormat="1" applyFont="1" applyFill="1" applyAlignment="1">
      <alignment horizontal="left" vertical="center" wrapText="1"/>
    </xf>
    <xf numFmtId="0" fontId="2" fillId="11" borderId="0" xfId="0" applyFont="1" applyFill="1" applyAlignment="1">
      <alignment horizontal="left" vertical="center" wrapText="1"/>
    </xf>
    <xf numFmtId="169" fontId="2" fillId="11" borderId="0" xfId="0" applyNumberFormat="1" applyFont="1" applyFill="1" applyAlignment="1">
      <alignment horizontal="left" vertical="center" wrapText="1"/>
    </xf>
    <xf numFmtId="174" fontId="2" fillId="11" borderId="0" xfId="0" applyNumberFormat="1" applyFont="1" applyFill="1" applyAlignment="1">
      <alignment horizontal="left" vertical="center" wrapText="1"/>
    </xf>
    <xf numFmtId="166" fontId="2" fillId="11" borderId="0" xfId="0" applyNumberFormat="1" applyFont="1" applyFill="1" applyAlignment="1">
      <alignment horizontal="left" vertical="center" wrapText="1"/>
    </xf>
    <xf numFmtId="166" fontId="2" fillId="12" borderId="0" xfId="0" applyNumberFormat="1" applyFont="1" applyFill="1" applyAlignment="1">
      <alignment horizontal="left" vertical="center"/>
    </xf>
    <xf numFmtId="0" fontId="2" fillId="9" borderId="0" xfId="0" applyFont="1" applyFill="1" applyAlignment="1">
      <alignment horizontal="left" vertical="center"/>
    </xf>
    <xf numFmtId="0" fontId="2" fillId="11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5" borderId="0" xfId="0" applyFont="1" applyFill="1" applyAlignment="1">
      <alignment horizontal="center" vertical="center"/>
    </xf>
    <xf numFmtId="0" fontId="3" fillId="0" borderId="0" xfId="0" applyFont="1"/>
    <xf numFmtId="0" fontId="7" fillId="19" borderId="1" xfId="0" applyFont="1" applyFill="1" applyBorder="1" applyAlignment="1">
      <alignment horizontal="left"/>
    </xf>
    <xf numFmtId="0" fontId="7" fillId="19" borderId="1" xfId="0" applyFont="1" applyFill="1" applyBorder="1" applyAlignment="1">
      <alignment horizontal="center" vertical="center" wrapText="1"/>
    </xf>
    <xf numFmtId="0" fontId="7" fillId="19" borderId="1" xfId="0" applyFont="1" applyFill="1" applyBorder="1" applyAlignment="1">
      <alignment wrapText="1"/>
    </xf>
    <xf numFmtId="0" fontId="7" fillId="0" borderId="0" xfId="0" applyFont="1" applyAlignment="1">
      <alignment wrapText="1"/>
    </xf>
    <xf numFmtId="0" fontId="7" fillId="0" borderId="1" xfId="0" applyFont="1" applyBorder="1" applyAlignment="1">
      <alignment wrapText="1"/>
    </xf>
    <xf numFmtId="164" fontId="4" fillId="0" borderId="0" xfId="0" applyNumberFormat="1" applyFont="1"/>
    <xf numFmtId="164" fontId="3" fillId="0" borderId="0" xfId="0" applyNumberFormat="1" applyFont="1"/>
    <xf numFmtId="165" fontId="3" fillId="0" borderId="0" xfId="0" applyNumberFormat="1" applyFont="1"/>
    <xf numFmtId="173" fontId="3" fillId="0" borderId="0" xfId="0" applyNumberFormat="1" applyFont="1"/>
    <xf numFmtId="166" fontId="3" fillId="0" borderId="0" xfId="0" applyNumberFormat="1" applyFont="1"/>
    <xf numFmtId="1" fontId="3" fillId="0" borderId="0" xfId="0" applyNumberFormat="1" applyFont="1"/>
    <xf numFmtId="2" fontId="3" fillId="0" borderId="0" xfId="0" applyNumberFormat="1" applyFont="1">
      <extLst>
        <ext xmlns:xfpb="http://schemas.microsoft.com/office/spreadsheetml/2022/featurepropertybag" uri="{C7286773-470A-42A8-94C5-96B5CB345126}">
          <xfpb:xfComplement i="0"/>
        </ext>
      </extLst>
    </xf>
    <xf numFmtId="0" fontId="3" fillId="0" borderId="0" xfId="0" applyFont="1">
      <extLst>
        <ext xmlns:xfpb="http://schemas.microsoft.com/office/spreadsheetml/2022/featurepropertybag" uri="{C7286773-470A-42A8-94C5-96B5CB345126}">
          <xfpb:xfComplement i="0"/>
        </ext>
      </extLst>
    </xf>
    <xf numFmtId="0" fontId="11" fillId="0" borderId="0" xfId="0" applyFont="1" applyAlignment="1">
      <alignment wrapText="1"/>
    </xf>
    <xf numFmtId="164" fontId="4" fillId="20" borderId="0" xfId="0" applyNumberFormat="1" applyFont="1" applyFill="1" applyAlignment="1">
      <alignment wrapText="1"/>
    </xf>
    <xf numFmtId="0" fontId="20" fillId="6" borderId="0" xfId="0" applyFont="1" applyFill="1" applyAlignment="1">
      <alignment horizontal="center" vertical="center" wrapText="1"/>
    </xf>
    <xf numFmtId="0" fontId="21" fillId="6" borderId="0" xfId="0" applyFont="1" applyFill="1" applyAlignment="1">
      <alignment horizontal="left"/>
    </xf>
    <xf numFmtId="164" fontId="2" fillId="5" borderId="0" xfId="0" applyNumberFormat="1" applyFont="1" applyFill="1" applyAlignment="1">
      <alignment horizontal="center" vertical="center"/>
    </xf>
    <xf numFmtId="169" fontId="2" fillId="5" borderId="0" xfId="0" applyNumberFormat="1" applyFont="1" applyFill="1" applyAlignment="1">
      <alignment horizontal="center" vertical="center"/>
    </xf>
    <xf numFmtId="166" fontId="2" fillId="5" borderId="0" xfId="0" applyNumberFormat="1" applyFont="1" applyFill="1" applyAlignment="1">
      <alignment horizontal="center" vertical="center"/>
    </xf>
    <xf numFmtId="165" fontId="4" fillId="0" borderId="0" xfId="1" applyNumberFormat="1" applyFont="1" applyAlignment="1">
      <alignment wrapText="1"/>
    </xf>
    <xf numFmtId="0" fontId="17" fillId="0" borderId="0" xfId="0" applyFont="1" applyAlignment="1">
      <alignment wrapText="1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right" wrapText="1"/>
    </xf>
    <xf numFmtId="0" fontId="7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65" fontId="4" fillId="20" borderId="0" xfId="1" applyNumberFormat="1" applyFont="1" applyFill="1" applyAlignment="1">
      <alignment wrapText="1"/>
    </xf>
    <xf numFmtId="0" fontId="7" fillId="6" borderId="0" xfId="0" applyFont="1" applyFill="1" applyAlignment="1">
      <alignment horizontal="center" vertical="center"/>
    </xf>
    <xf numFmtId="166" fontId="11" fillId="7" borderId="0" xfId="0" applyNumberFormat="1" applyFont="1" applyFill="1"/>
    <xf numFmtId="168" fontId="11" fillId="7" borderId="0" xfId="0" applyNumberFormat="1" applyFont="1" applyFill="1"/>
    <xf numFmtId="9" fontId="11" fillId="7" borderId="0" xfId="0" applyNumberFormat="1" applyFont="1" applyFill="1"/>
    <xf numFmtId="0" fontId="12" fillId="0" borderId="0" xfId="0" applyFont="1"/>
    <xf numFmtId="166" fontId="12" fillId="0" borderId="0" xfId="0" applyNumberFormat="1" applyFont="1"/>
    <xf numFmtId="168" fontId="12" fillId="0" borderId="0" xfId="0" applyNumberFormat="1" applyFont="1"/>
    <xf numFmtId="9" fontId="12" fillId="0" borderId="0" xfId="0" applyNumberFormat="1" applyFont="1"/>
    <xf numFmtId="170" fontId="2" fillId="5" borderId="0" xfId="0" applyNumberFormat="1" applyFont="1" applyFill="1" applyAlignment="1">
      <alignment horizontal="center" vertical="center"/>
    </xf>
    <xf numFmtId="171" fontId="2" fillId="5" borderId="0" xfId="0" applyNumberFormat="1" applyFont="1" applyFill="1" applyAlignment="1">
      <alignment horizontal="center" vertical="center"/>
    </xf>
    <xf numFmtId="0" fontId="9" fillId="0" borderId="0" xfId="0" applyFont="1"/>
    <xf numFmtId="164" fontId="9" fillId="0" borderId="0" xfId="0" applyNumberFormat="1" applyFont="1"/>
    <xf numFmtId="168" fontId="4" fillId="0" borderId="0" xfId="0" applyNumberFormat="1" applyFont="1"/>
    <xf numFmtId="0" fontId="22" fillId="0" borderId="0" xfId="0" applyFont="1"/>
    <xf numFmtId="164" fontId="17" fillId="21" borderId="0" xfId="0" applyNumberFormat="1" applyFont="1" applyFill="1"/>
    <xf numFmtId="0" fontId="17" fillId="21" borderId="0" xfId="0" applyFont="1" applyFill="1"/>
    <xf numFmtId="0" fontId="2" fillId="0" borderId="0" xfId="0" applyFont="1" applyAlignment="1">
      <alignment horizontal="center" vertical="center"/>
    </xf>
    <xf numFmtId="0" fontId="7" fillId="0" borderId="0" xfId="0" applyFont="1"/>
    <xf numFmtId="0" fontId="12" fillId="0" borderId="0" xfId="0" applyFont="1" applyAlignment="1">
      <alignment wrapText="1"/>
    </xf>
    <xf numFmtId="0" fontId="2" fillId="0" borderId="0" xfId="0" applyFont="1" applyAlignment="1">
      <alignment horizontal="left" vertical="center" wrapText="1"/>
    </xf>
    <xf numFmtId="2" fontId="4" fillId="0" borderId="0" xfId="0" applyNumberFormat="1" applyFont="1" applyAlignment="1">
      <alignment wrapText="1"/>
    </xf>
    <xf numFmtId="0" fontId="6" fillId="0" borderId="2" xfId="0" applyFont="1" applyBorder="1" applyAlignment="1">
      <alignment wrapText="1"/>
    </xf>
    <xf numFmtId="167" fontId="4" fillId="0" borderId="3" xfId="0" applyNumberFormat="1" applyFont="1" applyBorder="1" applyAlignment="1">
      <alignment wrapText="1"/>
    </xf>
    <xf numFmtId="0" fontId="18" fillId="0" borderId="0" xfId="0" applyFont="1" applyAlignment="1">
      <alignment wrapText="1"/>
    </xf>
    <xf numFmtId="0" fontId="14" fillId="20" borderId="0" xfId="0" applyFont="1" applyFill="1" applyAlignment="1">
      <alignment vertical="top"/>
    </xf>
    <xf numFmtId="0" fontId="0" fillId="20" borderId="0" xfId="0" applyFill="1"/>
    <xf numFmtId="166" fontId="14" fillId="20" borderId="0" xfId="0" applyNumberFormat="1" applyFont="1" applyFill="1" applyAlignment="1">
      <alignment vertical="top"/>
    </xf>
    <xf numFmtId="166" fontId="4" fillId="20" borderId="0" xfId="0" applyNumberFormat="1" applyFont="1" applyFill="1" applyAlignment="1">
      <alignment vertical="top"/>
    </xf>
    <xf numFmtId="0" fontId="4" fillId="20" borderId="0" xfId="0" applyFont="1" applyFill="1" applyAlignment="1">
      <alignment vertical="top"/>
    </xf>
    <xf numFmtId="0" fontId="0" fillId="0" borderId="4" xfId="0" applyBorder="1"/>
    <xf numFmtId="0" fontId="0" fillId="22" borderId="0" xfId="0" applyFill="1"/>
    <xf numFmtId="0" fontId="33" fillId="24" borderId="8" xfId="0" applyFont="1" applyFill="1" applyBorder="1" applyAlignment="1">
      <alignment vertical="center"/>
    </xf>
    <xf numFmtId="165" fontId="33" fillId="24" borderId="0" xfId="0" applyNumberFormat="1" applyFont="1" applyFill="1" applyAlignment="1">
      <alignment vertical="center"/>
    </xf>
    <xf numFmtId="0" fontId="33" fillId="24" borderId="0" xfId="0" applyFont="1" applyFill="1" applyAlignment="1">
      <alignment vertical="center"/>
    </xf>
    <xf numFmtId="0" fontId="36" fillId="24" borderId="0" xfId="0" applyFont="1" applyFill="1"/>
    <xf numFmtId="166" fontId="36" fillId="24" borderId="0" xfId="0" applyNumberFormat="1" applyFont="1" applyFill="1"/>
    <xf numFmtId="177" fontId="36" fillId="24" borderId="0" xfId="0" applyNumberFormat="1" applyFont="1" applyFill="1"/>
    <xf numFmtId="165" fontId="36" fillId="24" borderId="0" xfId="0" applyNumberFormat="1" applyFont="1" applyFill="1"/>
    <xf numFmtId="0" fontId="37" fillId="22" borderId="0" xfId="0" applyFont="1" applyFill="1"/>
    <xf numFmtId="0" fontId="37" fillId="24" borderId="5" xfId="0" applyFont="1" applyFill="1" applyBorder="1"/>
    <xf numFmtId="0" fontId="37" fillId="24" borderId="6" xfId="0" applyFont="1" applyFill="1" applyBorder="1"/>
    <xf numFmtId="0" fontId="37" fillId="24" borderId="7" xfId="0" applyFont="1" applyFill="1" applyBorder="1"/>
    <xf numFmtId="0" fontId="37" fillId="24" borderId="8" xfId="0" applyFont="1" applyFill="1" applyBorder="1"/>
    <xf numFmtId="0" fontId="37" fillId="24" borderId="0" xfId="0" applyFont="1" applyFill="1"/>
    <xf numFmtId="0" fontId="37" fillId="24" borderId="9" xfId="0" applyFont="1" applyFill="1" applyBorder="1"/>
    <xf numFmtId="0" fontId="37" fillId="24" borderId="10" xfId="0" applyFont="1" applyFill="1" applyBorder="1"/>
    <xf numFmtId="0" fontId="37" fillId="24" borderId="11" xfId="0" applyFont="1" applyFill="1" applyBorder="1"/>
    <xf numFmtId="0" fontId="37" fillId="24" borderId="12" xfId="0" applyFont="1" applyFill="1" applyBorder="1"/>
    <xf numFmtId="0" fontId="37" fillId="24" borderId="13" xfId="0" applyFont="1" applyFill="1" applyBorder="1"/>
    <xf numFmtId="0" fontId="37" fillId="24" borderId="14" xfId="0" applyFont="1" applyFill="1" applyBorder="1"/>
    <xf numFmtId="0" fontId="37" fillId="24" borderId="15" xfId="0" applyFont="1" applyFill="1" applyBorder="1"/>
    <xf numFmtId="0" fontId="37" fillId="24" borderId="4" xfId="0" applyFont="1" applyFill="1" applyBorder="1"/>
    <xf numFmtId="0" fontId="28" fillId="24" borderId="0" xfId="0" applyFont="1" applyFill="1" applyAlignment="1">
      <alignment vertical="center"/>
    </xf>
    <xf numFmtId="0" fontId="29" fillId="24" borderId="0" xfId="0" applyFont="1" applyFill="1" applyAlignment="1">
      <alignment vertical="center"/>
    </xf>
    <xf numFmtId="0" fontId="30" fillId="24" borderId="0" xfId="0" applyFont="1" applyFill="1" applyAlignment="1">
      <alignment vertical="center"/>
    </xf>
    <xf numFmtId="0" fontId="26" fillId="25" borderId="19" xfId="0" applyFont="1" applyFill="1" applyBorder="1"/>
    <xf numFmtId="0" fontId="26" fillId="25" borderId="20" xfId="0" applyFont="1" applyFill="1" applyBorder="1"/>
    <xf numFmtId="0" fontId="26" fillId="25" borderId="18" xfId="0" applyFont="1" applyFill="1" applyBorder="1" applyAlignment="1">
      <alignment vertical="center"/>
    </xf>
    <xf numFmtId="0" fontId="26" fillId="25" borderId="21" xfId="0" applyFont="1" applyFill="1" applyBorder="1" applyAlignment="1">
      <alignment vertical="center"/>
    </xf>
    <xf numFmtId="0" fontId="26" fillId="25" borderId="22" xfId="0" applyFont="1" applyFill="1" applyBorder="1" applyAlignment="1">
      <alignment vertical="center"/>
    </xf>
    <xf numFmtId="0" fontId="26" fillId="25" borderId="23" xfId="0" applyFont="1" applyFill="1" applyBorder="1" applyAlignment="1">
      <alignment vertical="center"/>
    </xf>
    <xf numFmtId="0" fontId="37" fillId="24" borderId="28" xfId="0" applyFont="1" applyFill="1" applyBorder="1"/>
    <xf numFmtId="0" fontId="37" fillId="24" borderId="29" xfId="0" applyFont="1" applyFill="1" applyBorder="1"/>
    <xf numFmtId="0" fontId="26" fillId="25" borderId="32" xfId="0" applyFont="1" applyFill="1" applyBorder="1"/>
    <xf numFmtId="0" fontId="37" fillId="24" borderId="33" xfId="0" applyFont="1" applyFill="1" applyBorder="1"/>
    <xf numFmtId="0" fontId="37" fillId="24" borderId="34" xfId="0" applyFont="1" applyFill="1" applyBorder="1"/>
    <xf numFmtId="0" fontId="26" fillId="25" borderId="32" xfId="0" applyFont="1" applyFill="1" applyBorder="1" applyAlignment="1">
      <alignment vertical="center"/>
    </xf>
    <xf numFmtId="0" fontId="34" fillId="26" borderId="4" xfId="0" applyFont="1" applyFill="1" applyBorder="1"/>
    <xf numFmtId="0" fontId="10" fillId="4" borderId="0" xfId="0" applyFont="1" applyFill="1" applyAlignment="1">
      <alignment vertical="center" wrapText="1"/>
    </xf>
    <xf numFmtId="0" fontId="2" fillId="4" borderId="0" xfId="0" applyFont="1" applyFill="1" applyAlignment="1">
      <alignment vertical="center"/>
    </xf>
    <xf numFmtId="0" fontId="1" fillId="0" borderId="0" xfId="0" applyFont="1" applyAlignment="1">
      <alignment vertical="center" wrapText="1"/>
    </xf>
    <xf numFmtId="0" fontId="2" fillId="27" borderId="4" xfId="0" applyFont="1" applyFill="1" applyBorder="1" applyAlignment="1">
      <alignment vertical="center"/>
    </xf>
    <xf numFmtId="0" fontId="2" fillId="0" borderId="4" xfId="0" applyFont="1" applyBorder="1" applyAlignment="1">
      <alignment vertical="center"/>
    </xf>
    <xf numFmtId="0" fontId="7" fillId="2" borderId="0" xfId="0" applyFont="1" applyFill="1" applyAlignment="1">
      <alignment vertical="center" wrapText="1"/>
    </xf>
    <xf numFmtId="9" fontId="11" fillId="0" borderId="0" xfId="0" applyNumberFormat="1" applyFont="1" applyAlignment="1">
      <alignment wrapText="1"/>
    </xf>
    <xf numFmtId="0" fontId="20" fillId="0" borderId="0" xfId="0" applyFont="1" applyAlignment="1">
      <alignment horizontal="center" vertical="center" wrapText="1"/>
    </xf>
    <xf numFmtId="0" fontId="8" fillId="3" borderId="0" xfId="0" applyFont="1" applyFill="1" applyAlignment="1">
      <alignment vertical="center" wrapText="1"/>
    </xf>
    <xf numFmtId="0" fontId="0" fillId="0" borderId="0" xfId="0" applyAlignment="1">
      <alignment vertical="center" wrapText="1"/>
    </xf>
    <xf numFmtId="165" fontId="37" fillId="24" borderId="30" xfId="1" applyNumberFormat="1" applyFont="1" applyFill="1" applyBorder="1" applyAlignment="1">
      <alignment horizontal="center"/>
    </xf>
    <xf numFmtId="165" fontId="37" fillId="24" borderId="24" xfId="1" applyNumberFormat="1" applyFont="1" applyFill="1" applyBorder="1" applyAlignment="1">
      <alignment horizontal="center"/>
    </xf>
    <xf numFmtId="165" fontId="37" fillId="24" borderId="31" xfId="1" applyNumberFormat="1" applyFont="1" applyFill="1" applyBorder="1" applyAlignment="1">
      <alignment horizontal="center"/>
    </xf>
    <xf numFmtId="0" fontId="37" fillId="24" borderId="16" xfId="0" applyFont="1" applyFill="1" applyBorder="1" applyAlignment="1">
      <alignment horizontal="left"/>
    </xf>
    <xf numFmtId="0" fontId="37" fillId="24" borderId="17" xfId="0" applyFont="1" applyFill="1" applyBorder="1" applyAlignment="1">
      <alignment horizontal="left"/>
    </xf>
    <xf numFmtId="0" fontId="33" fillId="24" borderId="13" xfId="0" applyFont="1" applyFill="1" applyBorder="1" applyAlignment="1">
      <alignment vertical="center" wrapText="1"/>
    </xf>
    <xf numFmtId="0" fontId="37" fillId="24" borderId="14" xfId="0" applyFont="1" applyFill="1" applyBorder="1"/>
    <xf numFmtId="0" fontId="37" fillId="24" borderId="33" xfId="0" applyFont="1" applyFill="1" applyBorder="1"/>
    <xf numFmtId="0" fontId="37" fillId="24" borderId="16" xfId="0" applyFont="1" applyFill="1" applyBorder="1"/>
    <xf numFmtId="0" fontId="37" fillId="24" borderId="17" xfId="0" applyFont="1" applyFill="1" applyBorder="1"/>
    <xf numFmtId="0" fontId="37" fillId="24" borderId="34" xfId="0" applyFont="1" applyFill="1" applyBorder="1"/>
    <xf numFmtId="0" fontId="38" fillId="22" borderId="0" xfId="0" applyFont="1" applyFill="1" applyAlignment="1">
      <alignment horizontal="center"/>
    </xf>
    <xf numFmtId="0" fontId="37" fillId="22" borderId="0" xfId="0" applyFont="1" applyFill="1"/>
    <xf numFmtId="0" fontId="24" fillId="23" borderId="0" xfId="0" applyFont="1" applyFill="1" applyAlignment="1">
      <alignment horizontal="left" vertical="center"/>
    </xf>
    <xf numFmtId="0" fontId="0" fillId="23" borderId="0" xfId="0" applyFill="1" applyAlignment="1">
      <alignment horizontal="left" vertical="center"/>
    </xf>
    <xf numFmtId="0" fontId="39" fillId="24" borderId="5" xfId="0" applyFont="1" applyFill="1" applyBorder="1" applyAlignment="1">
      <alignment horizontal="center" vertical="center" wrapText="1"/>
    </xf>
    <xf numFmtId="0" fontId="0" fillId="24" borderId="6" xfId="0" applyFill="1" applyBorder="1"/>
    <xf numFmtId="0" fontId="0" fillId="24" borderId="7" xfId="0" applyFill="1" applyBorder="1"/>
    <xf numFmtId="0" fontId="0" fillId="24" borderId="8" xfId="0" applyFill="1" applyBorder="1"/>
    <xf numFmtId="0" fontId="0" fillId="24" borderId="0" xfId="0" applyFill="1"/>
    <xf numFmtId="0" fontId="0" fillId="24" borderId="9" xfId="0" applyFill="1" applyBorder="1"/>
    <xf numFmtId="0" fontId="0" fillId="24" borderId="10" xfId="0" applyFill="1" applyBorder="1"/>
    <xf numFmtId="0" fontId="0" fillId="24" borderId="11" xfId="0" applyFill="1" applyBorder="1"/>
    <xf numFmtId="0" fontId="0" fillId="24" borderId="12" xfId="0" applyFill="1" applyBorder="1"/>
    <xf numFmtId="0" fontId="35" fillId="24" borderId="15" xfId="0" applyFont="1" applyFill="1" applyBorder="1" applyAlignment="1">
      <alignment horizontal="left"/>
    </xf>
    <xf numFmtId="0" fontId="35" fillId="24" borderId="4" xfId="0" applyFont="1" applyFill="1" applyBorder="1" applyAlignment="1">
      <alignment horizontal="left"/>
    </xf>
    <xf numFmtId="0" fontId="25" fillId="24" borderId="15" xfId="0" applyFont="1" applyFill="1" applyBorder="1" applyAlignment="1">
      <alignment horizontal="left"/>
    </xf>
    <xf numFmtId="0" fontId="25" fillId="24" borderId="4" xfId="0" applyFont="1" applyFill="1" applyBorder="1" applyAlignment="1">
      <alignment horizontal="left"/>
    </xf>
    <xf numFmtId="0" fontId="40" fillId="24" borderId="30" xfId="0" applyFont="1" applyFill="1" applyBorder="1" applyAlignment="1">
      <alignment horizontal="center" wrapText="1"/>
    </xf>
    <xf numFmtId="0" fontId="40" fillId="24" borderId="24" xfId="0" applyFont="1" applyFill="1" applyBorder="1" applyAlignment="1">
      <alignment horizontal="center" wrapText="1"/>
    </xf>
    <xf numFmtId="0" fontId="40" fillId="24" borderId="31" xfId="0" applyFont="1" applyFill="1" applyBorder="1" applyAlignment="1">
      <alignment horizontal="center" wrapText="1"/>
    </xf>
    <xf numFmtId="0" fontId="37" fillId="24" borderId="30" xfId="0" applyFont="1" applyFill="1" applyBorder="1" applyAlignment="1">
      <alignment horizontal="center"/>
    </xf>
    <xf numFmtId="0" fontId="37" fillId="24" borderId="24" xfId="0" applyFont="1" applyFill="1" applyBorder="1" applyAlignment="1">
      <alignment horizontal="center"/>
    </xf>
    <xf numFmtId="0" fontId="37" fillId="24" borderId="31" xfId="0" applyFont="1" applyFill="1" applyBorder="1" applyAlignment="1">
      <alignment horizontal="center"/>
    </xf>
    <xf numFmtId="0" fontId="37" fillId="24" borderId="25" xfId="0" applyFont="1" applyFill="1" applyBorder="1" applyAlignment="1">
      <alignment horizontal="center"/>
    </xf>
    <xf numFmtId="0" fontId="37" fillId="24" borderId="26" xfId="0" applyFont="1" applyFill="1" applyBorder="1" applyAlignment="1">
      <alignment horizontal="center"/>
    </xf>
    <xf numFmtId="0" fontId="37" fillId="24" borderId="27" xfId="0" applyFont="1" applyFill="1" applyBorder="1" applyAlignment="1">
      <alignment horizontal="center"/>
    </xf>
    <xf numFmtId="0" fontId="23" fillId="23" borderId="0" xfId="0" applyFont="1" applyFill="1" applyAlignment="1">
      <alignment horizontal="left" vertical="center"/>
    </xf>
    <xf numFmtId="0" fontId="30" fillId="24" borderId="0" xfId="0" applyFont="1" applyFill="1" applyAlignment="1">
      <alignment vertical="center"/>
    </xf>
    <xf numFmtId="0" fontId="30" fillId="24" borderId="9" xfId="0" applyFont="1" applyFill="1" applyBorder="1" applyAlignment="1">
      <alignment vertical="center"/>
    </xf>
    <xf numFmtId="0" fontId="32" fillId="24" borderId="0" xfId="0" applyFont="1" applyFill="1" applyAlignment="1">
      <alignment vertical="center"/>
    </xf>
    <xf numFmtId="0" fontId="32" fillId="24" borderId="9" xfId="0" applyFont="1" applyFill="1" applyBorder="1" applyAlignment="1">
      <alignment vertical="center"/>
    </xf>
    <xf numFmtId="0" fontId="26" fillId="25" borderId="18" xfId="0" applyFont="1" applyFill="1" applyBorder="1" applyAlignment="1">
      <alignment horizontal="left" vertical="center"/>
    </xf>
    <xf numFmtId="0" fontId="26" fillId="25" borderId="19" xfId="0" applyFont="1" applyFill="1" applyBorder="1"/>
    <xf numFmtId="0" fontId="26" fillId="25" borderId="20" xfId="0" applyFont="1" applyFill="1" applyBorder="1"/>
    <xf numFmtId="0" fontId="26" fillId="25" borderId="21" xfId="0" applyFont="1" applyFill="1" applyBorder="1" applyAlignment="1">
      <alignment horizontal="left" vertical="center"/>
    </xf>
    <xf numFmtId="0" fontId="26" fillId="25" borderId="22" xfId="0" applyFont="1" applyFill="1" applyBorder="1"/>
    <xf numFmtId="0" fontId="26" fillId="25" borderId="32" xfId="0" applyFont="1" applyFill="1" applyBorder="1"/>
    <xf numFmtId="0" fontId="27" fillId="24" borderId="8" xfId="0" applyFont="1" applyFill="1" applyBorder="1"/>
    <xf numFmtId="0" fontId="27" fillId="24" borderId="0" xfId="0" applyFont="1" applyFill="1"/>
    <xf numFmtId="0" fontId="27" fillId="24" borderId="9" xfId="0" applyFont="1" applyFill="1" applyBorder="1"/>
    <xf numFmtId="0" fontId="31" fillId="24" borderId="0" xfId="0" applyFont="1" applyFill="1" applyAlignment="1">
      <alignment vertical="center"/>
    </xf>
    <xf numFmtId="0" fontId="31" fillId="24" borderId="9" xfId="0" applyFont="1" applyFill="1" applyBorder="1" applyAlignment="1">
      <alignment vertical="center"/>
    </xf>
    <xf numFmtId="167" fontId="17" fillId="0" borderId="0" xfId="0" applyNumberFormat="1" applyFont="1" applyAlignment="1">
      <alignment wrapText="1"/>
    </xf>
    <xf numFmtId="167" fontId="17" fillId="20" borderId="0" xfId="0" applyNumberFormat="1" applyFont="1" applyFill="1" applyAlignment="1">
      <alignment wrapText="1"/>
    </xf>
    <xf numFmtId="169" fontId="4" fillId="28" borderId="0" xfId="0" applyNumberFormat="1" applyFont="1" applyFill="1" applyAlignment="1">
      <alignment wrapText="1"/>
    </xf>
  </cellXfs>
  <cellStyles count="2"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colors>
    <mruColors>
      <color rgb="FF008001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microsoft.com/office/2022/11/relationships/FeaturePropertyBag" Target="featurePropertyBag/featurePropertyBag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/>
          <a:lstStyle/>
          <a:p>
            <a:r>
              <a:rPr lang="en-US"/>
              <a:t>Financed emissions by sector</a:t>
            </a:r>
          </a:p>
        </c:rich>
      </c:tx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v>Financed emissions</c:v>
          </c:tx>
          <c:spPr>
            <a:solidFill>
              <a:srgbClr val="2F5597"/>
            </a:solidFill>
          </c:spPr>
          <c:invertIfNegative val="1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1"/>
              <c:pt idx="0">
                <c:v>Retail &amp; Services</c:v>
              </c:pt>
              <c:pt idx="1">
                <c:v>Real Estate</c:v>
              </c:pt>
              <c:pt idx="2">
                <c:v>Agriculture &amp; Food</c:v>
              </c:pt>
              <c:pt idx="3">
                <c:v>Automotive</c:v>
              </c:pt>
              <c:pt idx="4">
                <c:v>Shipping</c:v>
              </c:pt>
              <c:pt idx="5">
                <c:v>Chemicals</c:v>
              </c:pt>
              <c:pt idx="6">
                <c:v>Power &amp; Utilities</c:v>
              </c:pt>
              <c:pt idx="7">
                <c:v>Aviation</c:v>
              </c:pt>
              <c:pt idx="8">
                <c:v>Steel</c:v>
              </c:pt>
              <c:pt idx="9">
                <c:v>Cement</c:v>
              </c:pt>
              <c:pt idx="10">
                <c:v>Oil &amp; Gas</c:v>
              </c:pt>
            </c:strLit>
          </c:cat>
          <c:val>
            <c:numLit>
              <c:formatCode>#,##0</c:formatCode>
              <c:ptCount val="11"/>
              <c:pt idx="0">
                <c:v>130</c:v>
              </c:pt>
              <c:pt idx="1">
                <c:v>300</c:v>
              </c:pt>
              <c:pt idx="2">
                <c:v>440</c:v>
              </c:pt>
              <c:pt idx="3">
                <c:v>460</c:v>
              </c:pt>
              <c:pt idx="4">
                <c:v>520</c:v>
              </c:pt>
              <c:pt idx="5">
                <c:v>780</c:v>
              </c:pt>
              <c:pt idx="6">
                <c:v>1420</c:v>
              </c:pt>
              <c:pt idx="7">
                <c:v>630</c:v>
              </c:pt>
              <c:pt idx="8">
                <c:v>990</c:v>
              </c:pt>
              <c:pt idx="9">
                <c:v>780</c:v>
              </c:pt>
              <c:pt idx="10">
                <c:v>1650</c:v>
              </c:pt>
            </c:numLit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0-0DF8-7148-A6FB-E07D78B1F21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50"/>
        <c:axId val="48650112"/>
        <c:axId val="48672768"/>
      </c:barChart>
      <c:catAx>
        <c:axId val="48650112"/>
        <c:scaling>
          <c:orientation val="minMax"/>
        </c:scaling>
        <c:delete val="0"/>
        <c:axPos val="l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txPr>
          <a:bodyPr anchorCtr="1"/>
          <a:lstStyle/>
          <a:p>
            <a:pPr>
              <a:defRPr sz="800"/>
            </a:pPr>
            <a:endParaRPr lang="en-US"/>
          </a:p>
        </c:txPr>
        <c:crossAx val="48672768"/>
        <c:crosses val="autoZero"/>
        <c:auto val="1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b"/>
        <c:majorGridlines>
          <c:spPr>
            <a:ln w="4763">
              <a:solidFill>
                <a:srgbClr val="E5EAF0"/>
              </a:solidFill>
              <a:prstDash val="solid"/>
            </a:ln>
          </c:spPr>
        </c:majorGridlines>
        <c:numFmt formatCode="#,##0" sourceLinked="1"/>
        <c:majorTickMark val="none"/>
        <c:minorTickMark val="none"/>
        <c:tickLblPos val="nextTo"/>
        <c:crossAx val="48650112"/>
        <c:crosses val="autoZero"/>
        <c:crossBetween val="between"/>
      </c:valAx>
    </c:plotArea>
    <c:plotVisOnly val="1"/>
    <c:dispBlanksAs val="zero"/>
    <c:showDLblsOverMax val="1"/>
  </c:chart>
  <c:spPr>
    <a:ln w="9525">
      <a:noFill/>
      <a:prstDash val="solid"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/>
          <a:lstStyle/>
          <a:p>
            <a:r>
              <a:rPr lang="en-US"/>
              <a:t>Portfolio pathway index</a:t>
            </a:r>
          </a:p>
        </c:rich>
      </c:tx>
      <c:overlay val="0"/>
    </c:title>
    <c:autoTitleDeleted val="0"/>
    <c:plotArea>
      <c:layout/>
      <c:lineChart>
        <c:grouping val="standard"/>
        <c:varyColors val="1"/>
        <c:ser>
          <c:idx val="0"/>
          <c:order val="0"/>
          <c:tx>
            <c:v>Baseline</c:v>
          </c:tx>
          <c:cat>
            <c:numLit>
              <c:formatCode>General</c:formatCode>
              <c:ptCount val="5"/>
              <c:pt idx="0">
                <c:v>2024</c:v>
              </c:pt>
              <c:pt idx="1">
                <c:v>2026</c:v>
              </c:pt>
              <c:pt idx="2">
                <c:v>2030</c:v>
              </c:pt>
              <c:pt idx="3">
                <c:v>2040</c:v>
              </c:pt>
              <c:pt idx="4">
                <c:v>2050</c:v>
              </c:pt>
            </c:numLit>
          </c:cat>
          <c:val>
            <c:numLit>
              <c:formatCode>0</c:formatCode>
              <c:ptCount val="5"/>
              <c:pt idx="0">
                <c:v>100</c:v>
              </c:pt>
              <c:pt idx="1">
                <c:v>96</c:v>
              </c:pt>
              <c:pt idx="2">
                <c:v>90</c:v>
              </c:pt>
              <c:pt idx="3">
                <c:v>70</c:v>
              </c:pt>
              <c:pt idx="4">
                <c:v>55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9146-3840-A7E3-CF3DF45FE111}"/>
            </c:ext>
          </c:extLst>
        </c:ser>
        <c:ser>
          <c:idx val="1"/>
          <c:order val="1"/>
          <c:tx>
            <c:v>Orderly</c:v>
          </c:tx>
          <c:cat>
            <c:numLit>
              <c:formatCode>General</c:formatCode>
              <c:ptCount val="5"/>
              <c:pt idx="0">
                <c:v>2024</c:v>
              </c:pt>
              <c:pt idx="1">
                <c:v>2026</c:v>
              </c:pt>
              <c:pt idx="2">
                <c:v>2030</c:v>
              </c:pt>
              <c:pt idx="3">
                <c:v>2040</c:v>
              </c:pt>
              <c:pt idx="4">
                <c:v>2050</c:v>
              </c:pt>
            </c:numLit>
          </c:cat>
          <c:val>
            <c:numLit>
              <c:formatCode>0</c:formatCode>
              <c:ptCount val="5"/>
              <c:pt idx="0">
                <c:v>100</c:v>
              </c:pt>
              <c:pt idx="1">
                <c:v>86</c:v>
              </c:pt>
              <c:pt idx="2">
                <c:v>67</c:v>
              </c:pt>
              <c:pt idx="3">
                <c:v>38</c:v>
              </c:pt>
              <c:pt idx="4">
                <c:v>18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9146-3840-A7E3-CF3DF45FE111}"/>
            </c:ext>
          </c:extLst>
        </c:ser>
        <c:ser>
          <c:idx val="2"/>
          <c:order val="2"/>
          <c:tx>
            <c:v>Accelerated</c:v>
          </c:tx>
          <c:cat>
            <c:numLit>
              <c:formatCode>General</c:formatCode>
              <c:ptCount val="5"/>
              <c:pt idx="0">
                <c:v>2024</c:v>
              </c:pt>
              <c:pt idx="1">
                <c:v>2026</c:v>
              </c:pt>
              <c:pt idx="2">
                <c:v>2030</c:v>
              </c:pt>
              <c:pt idx="3">
                <c:v>2040</c:v>
              </c:pt>
              <c:pt idx="4">
                <c:v>2050</c:v>
              </c:pt>
            </c:numLit>
          </c:cat>
          <c:val>
            <c:numLit>
              <c:formatCode>0</c:formatCode>
              <c:ptCount val="5"/>
              <c:pt idx="0">
                <c:v>100</c:v>
              </c:pt>
              <c:pt idx="1">
                <c:v>78</c:v>
              </c:pt>
              <c:pt idx="2">
                <c:v>51</c:v>
              </c:pt>
              <c:pt idx="3">
                <c:v>24</c:v>
              </c:pt>
              <c:pt idx="4">
                <c:v>10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9146-3840-A7E3-CF3DF45FE1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txPr>
          <a:bodyPr anchorCtr="1"/>
          <a:lstStyle/>
          <a:p>
            <a:pPr>
              <a:defRPr sz="675"/>
            </a:pPr>
            <a:endParaRPr lang="en-US"/>
          </a:p>
        </c:txPr>
        <c:crossAx val="48672768"/>
        <c:crosses val="autoZero"/>
        <c:auto val="1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w="4763">
              <a:solidFill>
                <a:srgbClr val="E5EAF0"/>
              </a:solidFill>
              <a:prstDash val="solid"/>
            </a:ln>
          </c:spPr>
        </c:majorGridlines>
        <c:numFmt formatCode="0" sourceLinked="1"/>
        <c:majorTickMark val="none"/>
        <c:minorTickMark val="none"/>
        <c:tickLblPos val="nextTo"/>
        <c:crossAx val="48650112"/>
        <c:crosses val="autoZero"/>
        <c:crossBetween val="between"/>
      </c:valAx>
    </c:plotArea>
    <c:legend>
      <c:legendPos val="b"/>
      <c:overlay val="0"/>
    </c:legend>
    <c:plotVisOnly val="1"/>
    <c:dispBlanksAs val="zero"/>
    <c:showDLblsOverMax val="1"/>
  </c:chart>
  <c:spPr>
    <a:ln w="9525">
      <a:noFill/>
      <a:prstDash val="solid"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/>
          <a:lstStyle/>
          <a:p>
            <a:r>
              <a:rPr lang="en-US"/>
              <a:t>Top 10 financed-emissions contributors</a:t>
            </a:r>
          </a:p>
        </c:rich>
      </c:tx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v>Financed emissions</c:v>
          </c:tx>
          <c:spPr>
            <a:solidFill>
              <a:srgbClr val="1F7A8C"/>
            </a:solidFill>
          </c:spPr>
          <c:invertIfNegative val="1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0"/>
              <c:pt idx="0">
                <c:v>UrbanCore Properties</c:v>
              </c:pt>
              <c:pt idx="1">
                <c:v>VoltEdge Power Assets</c:v>
              </c:pt>
              <c:pt idx="2">
                <c:v>TerraFood Ingredients</c:v>
              </c:pt>
              <c:pt idx="3">
                <c:v>Caldera Petrochem Industries</c:v>
              </c:pt>
              <c:pt idx="4">
                <c:v>BlueHarbor Shipping</c:v>
              </c:pt>
              <c:pt idx="5">
                <c:v>Mariner Aviation Systems</c:v>
              </c:pt>
              <c:pt idx="6">
                <c:v>Nova Cement Materials</c:v>
              </c:pt>
              <c:pt idx="7">
                <c:v>Orion Grid Infrastructure</c:v>
              </c:pt>
              <c:pt idx="8">
                <c:v>Aster Energy Holdings</c:v>
              </c:pt>
              <c:pt idx="9">
                <c:v>Helios Steel Group</c:v>
              </c:pt>
            </c:strLit>
          </c:cat>
          <c:val>
            <c:numLit>
              <c:formatCode>#,##0</c:formatCode>
              <c:ptCount val="10"/>
              <c:pt idx="0">
                <c:v>290</c:v>
              </c:pt>
              <c:pt idx="1">
                <c:v>385</c:v>
              </c:pt>
              <c:pt idx="2">
                <c:v>390</c:v>
              </c:pt>
              <c:pt idx="3">
                <c:v>425</c:v>
              </c:pt>
              <c:pt idx="4">
                <c:v>445</c:v>
              </c:pt>
              <c:pt idx="5">
                <c:v>475</c:v>
              </c:pt>
              <c:pt idx="6">
                <c:v>540</c:v>
              </c:pt>
              <c:pt idx="7">
                <c:v>580</c:v>
              </c:pt>
              <c:pt idx="8">
                <c:v>610</c:v>
              </c:pt>
              <c:pt idx="9">
                <c:v>690</c:v>
              </c:pt>
            </c:numLit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0-AEFD-4F4A-89DE-7D9FA141E48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5"/>
        <c:axId val="48650112"/>
        <c:axId val="48672768"/>
      </c:barChart>
      <c:catAx>
        <c:axId val="48650112"/>
        <c:scaling>
          <c:orientation val="minMax"/>
        </c:scaling>
        <c:delete val="0"/>
        <c:axPos val="l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txPr>
          <a:bodyPr anchorCtr="1"/>
          <a:lstStyle/>
          <a:p>
            <a:pPr>
              <a:defRPr sz="800"/>
            </a:pPr>
            <a:endParaRPr lang="en-US"/>
          </a:p>
        </c:txPr>
        <c:crossAx val="48672768"/>
        <c:crosses val="autoZero"/>
        <c:auto val="1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b"/>
        <c:majorGridlines>
          <c:spPr>
            <a:ln w="4763">
              <a:solidFill>
                <a:srgbClr val="E5EAF0"/>
              </a:solidFill>
              <a:prstDash val="solid"/>
            </a:ln>
          </c:spPr>
        </c:majorGridlines>
        <c:numFmt formatCode="#,##0" sourceLinked="1"/>
        <c:majorTickMark val="none"/>
        <c:minorTickMark val="none"/>
        <c:tickLblPos val="nextTo"/>
        <c:crossAx val="48650112"/>
        <c:crosses val="autoZero"/>
        <c:crossBetween val="between"/>
      </c:valAx>
    </c:plotArea>
    <c:plotVisOnly val="1"/>
    <c:dispBlanksAs val="zero"/>
    <c:showDLblsOverMax val="1"/>
  </c:chart>
  <c:spPr>
    <a:ln w="9525">
      <a:noFill/>
      <a:prstDash val="solid"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/>
          <a:lstStyle/>
          <a:p>
            <a:r>
              <a:rPr lang="en-US"/>
              <a:t>Sector gap to 2030 target</a:t>
            </a:r>
          </a:p>
        </c:rich>
      </c:tx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v>Gap to target</c:v>
          </c:tx>
          <c:spPr>
            <a:solidFill>
              <a:srgbClr val="A16207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1"/>
              <c:pt idx="0">
                <c:v>Retail &amp; Services</c:v>
              </c:pt>
              <c:pt idx="1">
                <c:v>Real Estate</c:v>
              </c:pt>
              <c:pt idx="2">
                <c:v>Agriculture &amp; Food</c:v>
              </c:pt>
              <c:pt idx="3">
                <c:v>Automotive</c:v>
              </c:pt>
              <c:pt idx="4">
                <c:v>Shipping</c:v>
              </c:pt>
              <c:pt idx="5">
                <c:v>Chemicals</c:v>
              </c:pt>
              <c:pt idx="6">
                <c:v>Power &amp; Utilities</c:v>
              </c:pt>
              <c:pt idx="7">
                <c:v>Aviation</c:v>
              </c:pt>
              <c:pt idx="8">
                <c:v>Steel</c:v>
              </c:pt>
              <c:pt idx="9">
                <c:v>Cement</c:v>
              </c:pt>
              <c:pt idx="10">
                <c:v>Oil &amp; Gas</c:v>
              </c:pt>
            </c:strLit>
          </c:cat>
          <c:val>
            <c:numLit>
              <c:formatCode>\+0</c:formatCode>
              <c:ptCount val="11"/>
              <c:pt idx="0">
                <c:v>-21</c:v>
              </c:pt>
              <c:pt idx="1">
                <c:v>-16</c:v>
              </c:pt>
              <c:pt idx="2">
                <c:v>5</c:v>
              </c:pt>
              <c:pt idx="3">
                <c:v>8</c:v>
              </c:pt>
              <c:pt idx="4">
                <c:v>16</c:v>
              </c:pt>
              <c:pt idx="5">
                <c:v>22</c:v>
              </c:pt>
              <c:pt idx="6">
                <c:v>28</c:v>
              </c:pt>
              <c:pt idx="7">
                <c:v>48</c:v>
              </c:pt>
              <c:pt idx="8">
                <c:v>53</c:v>
              </c:pt>
              <c:pt idx="9">
                <c:v>60</c:v>
              </c:pt>
              <c:pt idx="10">
                <c:v>72</c:v>
              </c:pt>
            </c:numLit>
          </c:val>
          <c:extLst>
            <c:ext xmlns:c16="http://schemas.microsoft.com/office/drawing/2014/chart" uri="{C3380CC4-5D6E-409C-BE32-E72D297353CC}">
              <c16:uniqueId val="{00000000-529F-5C46-9DD8-96570BA3F11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50"/>
        <c:axId val="48650112"/>
        <c:axId val="48672768"/>
      </c:barChart>
      <c:catAx>
        <c:axId val="48650112"/>
        <c:scaling>
          <c:orientation val="minMax"/>
        </c:scaling>
        <c:delete val="0"/>
        <c:axPos val="l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txPr>
          <a:bodyPr anchorCtr="1"/>
          <a:lstStyle/>
          <a:p>
            <a:pPr>
              <a:defRPr sz="1000"/>
            </a:pPr>
            <a:endParaRPr lang="en-US"/>
          </a:p>
        </c:txPr>
        <c:crossAx val="48672768"/>
        <c:crosses val="autoZero"/>
        <c:auto val="1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b"/>
        <c:majorGridlines>
          <c:spPr>
            <a:ln w="4763">
              <a:solidFill>
                <a:srgbClr val="E5EAF0"/>
              </a:solidFill>
              <a:prstDash val="solid"/>
            </a:ln>
          </c:spPr>
        </c:majorGridlines>
        <c:numFmt formatCode="\+0" sourceLinked="1"/>
        <c:majorTickMark val="none"/>
        <c:minorTickMark val="none"/>
        <c:tickLblPos val="nextTo"/>
        <c:crossAx val="48650112"/>
        <c:crosses val="autoZero"/>
        <c:crossBetween val="between"/>
      </c:valAx>
    </c:plotArea>
    <c:plotVisOnly val="1"/>
    <c:dispBlanksAs val="zero"/>
    <c:showDLblsOverMax val="1"/>
  </c:chart>
  <c:spPr>
    <a:ln w="9525">
      <a:noFill/>
      <a:prstDash val="solid"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 i="0" u="none" strike="noStrike">
                <a:effectLst/>
              </a:rPr>
              <a:t>Scope split</a:t>
            </a:r>
            <a:r>
              <a:rPr lang="en-US" sz="1100">
                <a:effectLst/>
              </a:rPr>
              <a:t>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E5B-F348-886B-B83166158E3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E5B-F348-886B-B83166158E3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CE5B-F348-886B-B83166158E3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'09_Dashboard'!$B$56:$B$58</c:f>
              <c:strCache>
                <c:ptCount val="3"/>
                <c:pt idx="0">
                  <c:v>Scope 1</c:v>
                </c:pt>
                <c:pt idx="1">
                  <c:v>Scope 2</c:v>
                </c:pt>
                <c:pt idx="2">
                  <c:v>Scope 3</c:v>
                </c:pt>
              </c:strCache>
            </c:strRef>
          </c:cat>
          <c:val>
            <c:numRef>
              <c:f>'09_Dashboard'!$C$56:$C$58</c:f>
              <c:numCache>
                <c:formatCode>0.0%</c:formatCode>
                <c:ptCount val="3"/>
                <c:pt idx="0">
                  <c:v>0.47506191812033316</c:v>
                </c:pt>
                <c:pt idx="1">
                  <c:v>7.2962927742948727E-2</c:v>
                </c:pt>
                <c:pt idx="2">
                  <c:v>0.45197515413671796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99-2A41-B584-C41EA65DDE61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 i="0" u="none" strike="noStrike">
                <a:effectLst/>
              </a:rPr>
              <a:t>Alignment mix</a:t>
            </a:r>
            <a:r>
              <a:rPr lang="en-US" sz="1100">
                <a:effectLst/>
              </a:rPr>
              <a:t>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936-4544-A441-B1FB628AA8F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936-4544-A441-B1FB628AA8F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3936-4544-A441-B1FB628AA8F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'09_Dashboard'!$E$56:$E$58</c:f>
              <c:strCache>
                <c:ptCount val="3"/>
                <c:pt idx="0">
                  <c:v>Aligned</c:v>
                </c:pt>
                <c:pt idx="1">
                  <c:v>Partial</c:v>
                </c:pt>
                <c:pt idx="2">
                  <c:v>Misaligned</c:v>
                </c:pt>
              </c:strCache>
            </c:strRef>
          </c:cat>
          <c:val>
            <c:numRef>
              <c:f>'09_Dashboard'!$F$56:$F$58</c:f>
              <c:numCache>
                <c:formatCode>0.0%</c:formatCode>
                <c:ptCount val="3"/>
                <c:pt idx="0">
                  <c:v>0.28400000000000003</c:v>
                </c:pt>
                <c:pt idx="1">
                  <c:v>0.37</c:v>
                </c:pt>
                <c:pt idx="2">
                  <c:v>0.34600000000000003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E6-6342-B667-75D99DF278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12</xdr:row>
      <xdr:rowOff>38100</xdr:rowOff>
    </xdr:from>
    <xdr:ext cx="8890000" cy="4168775"/>
    <xdr:graphicFrame macro="">
      <xdr:nvGraphicFramePr>
        <xdr:cNvPr id="2" name="Chart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11</xdr:col>
      <xdr:colOff>19249</xdr:colOff>
      <xdr:row>12</xdr:row>
      <xdr:rowOff>91768</xdr:rowOff>
    </xdr:from>
    <xdr:ext cx="9480351" cy="4130982"/>
    <xdr:graphicFrame macro="">
      <xdr:nvGraphicFramePr>
        <xdr:cNvPr id="3" name="Chart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  <xdr:oneCellAnchor>
    <xdr:from>
      <xdr:col>1</xdr:col>
      <xdr:colOff>0</xdr:colOff>
      <xdr:row>33</xdr:row>
      <xdr:rowOff>25400</xdr:rowOff>
    </xdr:from>
    <xdr:ext cx="8915400" cy="3736975"/>
    <xdr:graphicFrame macro="">
      <xdr:nvGraphicFramePr>
        <xdr:cNvPr id="4" name="Chart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oneCellAnchor>
  <xdr:oneCellAnchor>
    <xdr:from>
      <xdr:col>11</xdr:col>
      <xdr:colOff>33866</xdr:colOff>
      <xdr:row>33</xdr:row>
      <xdr:rowOff>25400</xdr:rowOff>
    </xdr:from>
    <xdr:ext cx="9478434" cy="3800475"/>
    <xdr:graphicFrame macro="">
      <xdr:nvGraphicFramePr>
        <xdr:cNvPr id="5" name="Chart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oneCellAnchor>
  <xdr:twoCellAnchor>
    <xdr:from>
      <xdr:col>1</xdr:col>
      <xdr:colOff>12700</xdr:colOff>
      <xdr:row>52</xdr:row>
      <xdr:rowOff>12700</xdr:rowOff>
    </xdr:from>
    <xdr:to>
      <xdr:col>3</xdr:col>
      <xdr:colOff>965200</xdr:colOff>
      <xdr:row>63</xdr:row>
      <xdr:rowOff>215900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DFDCE312-8176-0356-CAD5-E426085D6A6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</xdr:col>
      <xdr:colOff>965200</xdr:colOff>
      <xdr:row>52</xdr:row>
      <xdr:rowOff>25400</xdr:rowOff>
    </xdr:from>
    <xdr:to>
      <xdr:col>7</xdr:col>
      <xdr:colOff>965200</xdr:colOff>
      <xdr:row>64</xdr:row>
      <xdr:rowOff>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BBB19CEB-C606-CCC6-393F-0B961D3BA1E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L103"/>
  <sheetViews>
    <sheetView showGridLines="0" tabSelected="1" workbookViewId="0"/>
  </sheetViews>
  <sheetFormatPr baseColWidth="10" defaultColWidth="0" defaultRowHeight="14" zeroHeight="1"/>
  <cols>
    <col min="1" max="1" width="2.83203125" customWidth="1"/>
    <col min="2" max="2" width="81.33203125" customWidth="1"/>
    <col min="3" max="3" width="156" customWidth="1"/>
    <col min="4" max="4" width="12.5" customWidth="1"/>
    <col min="5" max="64" width="0" hidden="1" customWidth="1"/>
    <col min="65" max="16384" width="8.83203125" hidden="1"/>
  </cols>
  <sheetData>
    <row r="1" spans="1:64" ht="47" customHeight="1">
      <c r="A1" s="132" t="s">
        <v>664</v>
      </c>
      <c r="B1" s="131"/>
      <c r="C1" s="21"/>
      <c r="D1" s="21"/>
      <c r="E1" s="140"/>
      <c r="F1" s="140"/>
      <c r="G1" s="140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119"/>
      <c r="T1" s="119"/>
      <c r="U1" s="119"/>
      <c r="V1" s="119"/>
      <c r="W1" s="119"/>
      <c r="X1" s="119"/>
      <c r="Y1" s="119"/>
      <c r="Z1" s="119"/>
      <c r="AA1" s="119"/>
      <c r="AB1" s="119"/>
      <c r="AC1" s="119"/>
      <c r="AD1" s="119"/>
      <c r="AE1" s="119"/>
      <c r="AF1" s="119"/>
      <c r="AG1" s="119"/>
      <c r="AH1" s="119"/>
      <c r="AI1" s="119"/>
      <c r="AJ1" s="119"/>
      <c r="AK1" s="119"/>
      <c r="AL1" s="119"/>
      <c r="AM1" s="119"/>
      <c r="AN1" s="119"/>
      <c r="AO1" s="119"/>
      <c r="AP1" s="119"/>
      <c r="AQ1" s="119"/>
      <c r="AR1" s="119"/>
      <c r="AS1" s="119"/>
      <c r="AT1" s="119"/>
      <c r="AU1" s="119"/>
      <c r="AV1" s="119"/>
      <c r="AW1" s="119"/>
      <c r="AX1" s="119"/>
      <c r="AY1" s="119"/>
      <c r="AZ1" s="119"/>
      <c r="BA1" s="119"/>
      <c r="BB1" s="119"/>
      <c r="BC1" s="119"/>
      <c r="BD1" s="119"/>
      <c r="BE1" s="119"/>
      <c r="BF1" s="119"/>
      <c r="BG1" s="119"/>
      <c r="BH1" s="119"/>
      <c r="BI1" s="119"/>
      <c r="BJ1" s="119"/>
      <c r="BK1" s="119"/>
      <c r="BL1" s="119"/>
    </row>
    <row r="2" spans="1:64" ht="15">
      <c r="A2" s="34"/>
      <c r="B2" s="25"/>
      <c r="C2" s="26"/>
      <c r="D2" s="25"/>
      <c r="E2" s="217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29"/>
      <c r="V2" s="129"/>
      <c r="W2" s="129"/>
      <c r="X2" s="129"/>
      <c r="Y2" s="129"/>
      <c r="Z2" s="129"/>
      <c r="AA2" s="129"/>
      <c r="AB2" s="129"/>
      <c r="AC2" s="129"/>
      <c r="AD2" s="129"/>
      <c r="AE2" s="129"/>
      <c r="AF2" s="129"/>
      <c r="AG2" s="129"/>
      <c r="AH2" s="129"/>
      <c r="AI2" s="129"/>
      <c r="AJ2" s="129"/>
      <c r="AK2" s="129"/>
      <c r="AL2" s="129"/>
      <c r="AM2" s="129"/>
      <c r="AN2" s="129"/>
      <c r="AO2" s="129"/>
      <c r="AP2" s="129"/>
      <c r="AQ2" s="129"/>
      <c r="AR2" s="129"/>
      <c r="AS2" s="129"/>
      <c r="AT2" s="129"/>
      <c r="AU2" s="129"/>
      <c r="AV2" s="129"/>
      <c r="AW2" s="129"/>
      <c r="AX2" s="129"/>
      <c r="AY2" s="129"/>
      <c r="AZ2" s="129"/>
      <c r="BA2" s="129"/>
      <c r="BB2" s="129"/>
      <c r="BC2" s="129"/>
      <c r="BD2" s="129"/>
      <c r="BE2" s="129"/>
      <c r="BF2" s="129"/>
      <c r="BG2" s="129"/>
      <c r="BH2" s="129"/>
      <c r="BI2" s="129"/>
      <c r="BJ2" s="129"/>
      <c r="BK2" s="129"/>
      <c r="BL2" s="129"/>
    </row>
    <row r="3" spans="1:64"/>
    <row r="4" spans="1:64" ht="21" customHeight="1">
      <c r="A4" t="s">
        <v>11</v>
      </c>
      <c r="B4" s="216" t="s">
        <v>0</v>
      </c>
      <c r="C4" s="216"/>
      <c r="E4" s="213"/>
      <c r="F4" s="213"/>
      <c r="G4" s="213"/>
      <c r="H4" s="213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64" ht="94" customHeight="1">
      <c r="B5" s="219" t="s">
        <v>1</v>
      </c>
      <c r="C5" s="220" t="s">
        <v>2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64" ht="94" customHeight="1">
      <c r="B6" s="219" t="s">
        <v>670</v>
      </c>
      <c r="C6" s="220" t="s">
        <v>669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64" ht="94" customHeight="1">
      <c r="B7" s="219" t="s">
        <v>3</v>
      </c>
      <c r="C7" s="220" t="s">
        <v>4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64" ht="94" customHeight="1">
      <c r="B8" s="219" t="s">
        <v>5</v>
      </c>
      <c r="C8" s="220" t="s">
        <v>668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64" ht="94" customHeight="1">
      <c r="B9" s="219" t="s">
        <v>6</v>
      </c>
      <c r="C9" s="220" t="s">
        <v>7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64">
      <c r="A10" s="1"/>
      <c r="B10" s="1"/>
      <c r="C10" s="9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64" ht="15" customHeight="1">
      <c r="A11" t="s">
        <v>11</v>
      </c>
      <c r="B11" s="131"/>
      <c r="C11" s="131"/>
      <c r="D11" s="131"/>
      <c r="E11" s="218"/>
      <c r="F11" s="218"/>
      <c r="G11" s="218"/>
      <c r="H11" s="218"/>
      <c r="I11" s="218"/>
      <c r="J11" s="218"/>
      <c r="K11" s="218"/>
      <c r="L11" s="218"/>
      <c r="M11" s="218"/>
      <c r="N11" s="218"/>
      <c r="O11" s="218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64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64" hidden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64" hidden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64" hidden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64" hidden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idden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idden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idden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idden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idden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idden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idden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idden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idden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idden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idden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idden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idden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idden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idden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idden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idden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idden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idden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idden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idden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idden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idden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idden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idden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idden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idden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idden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idden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idden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idden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idden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idden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idden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idden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idden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idden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idden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idden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idden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idden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idden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idden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idden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idden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idden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idden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idden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idden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idden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idden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idden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idden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idden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idden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idden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idden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idden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idden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idden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idden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idden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idden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idden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idden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idden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idden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idden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idden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idden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idden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idden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idden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idden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idden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idden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idden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idden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idden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idden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idden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idden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idden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idden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idden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idden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/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BI68"/>
  <sheetViews>
    <sheetView showGridLines="0" zoomScaleNormal="100" workbookViewId="0"/>
  </sheetViews>
  <sheetFormatPr baseColWidth="10" defaultColWidth="0" defaultRowHeight="14" zeroHeight="1"/>
  <cols>
    <col min="1" max="1" width="2.83203125" customWidth="1"/>
    <col min="2" max="2" width="13" customWidth="1"/>
    <col min="3" max="3" width="24" customWidth="1"/>
    <col min="4" max="4" width="11.83203125" customWidth="1"/>
    <col min="5" max="5" width="1.5" customWidth="1"/>
    <col min="6" max="6" width="21.83203125" customWidth="1"/>
    <col min="7" max="7" width="18.5" customWidth="1"/>
    <col min="8" max="8" width="9" customWidth="1"/>
    <col min="9" max="9" width="1.5" customWidth="1"/>
    <col min="10" max="10" width="16" customWidth="1"/>
    <col min="11" max="11" width="1.1640625" customWidth="1"/>
    <col min="12" max="12" width="30.1640625" customWidth="1"/>
    <col min="13" max="13" width="1.5" customWidth="1"/>
    <col min="14" max="14" width="17" customWidth="1"/>
    <col min="15" max="15" width="19.83203125" customWidth="1"/>
    <col min="16" max="16" width="9" customWidth="1"/>
    <col min="17" max="17" width="1.5" customWidth="1"/>
    <col min="18" max="18" width="24.1640625" customWidth="1"/>
    <col min="19" max="19" width="15" customWidth="1"/>
    <col min="20" max="20" width="6.83203125" customWidth="1"/>
    <col min="21" max="21" width="2.83203125" hidden="1" customWidth="1"/>
    <col min="22" max="22" width="0.1640625" hidden="1" customWidth="1"/>
    <col min="23" max="23" width="2.5" customWidth="1"/>
    <col min="24" max="61" width="2.5" hidden="1" customWidth="1"/>
    <col min="62" max="16384" width="8.83203125" hidden="1"/>
  </cols>
  <sheetData>
    <row r="1" spans="1:58" ht="48" customHeight="1">
      <c r="A1" s="132" t="s">
        <v>665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140"/>
      <c r="Y1" s="140"/>
      <c r="Z1" s="140"/>
      <c r="AA1" s="140"/>
      <c r="AB1" s="140"/>
      <c r="AC1" s="140"/>
      <c r="AD1" s="140"/>
    </row>
    <row r="2" spans="1:58" ht="16" customHeight="1">
      <c r="A2" s="34" t="s">
        <v>666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166"/>
      <c r="Y2" s="166"/>
      <c r="Z2" s="166"/>
      <c r="AA2" s="166"/>
      <c r="AB2" s="166"/>
      <c r="AC2" s="166"/>
      <c r="AD2" s="166"/>
    </row>
    <row r="3" spans="1:58"/>
    <row r="4" spans="1:58" ht="28" customHeight="1">
      <c r="A4" s="181" t="s">
        <v>11</v>
      </c>
      <c r="B4" s="258" t="s">
        <v>660</v>
      </c>
      <c r="C4" s="235"/>
      <c r="D4" s="235"/>
      <c r="E4" s="235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173"/>
    </row>
    <row r="5" spans="1:58" ht="22" customHeight="1">
      <c r="A5" s="181"/>
      <c r="B5" s="234" t="str">
        <f>"Financed emissions | Sector pathways | Transaction impact — "&amp;TEXT('04_Portfolio_KPIs'!$C$6,"#,##0")&amp;" €m exposure across 11 sectors"</f>
        <v>Financed emissions | Sector pathways | Transaction impact — 4,820 €m exposure across 11 sectors</v>
      </c>
      <c r="C5" s="235"/>
      <c r="D5" s="235"/>
      <c r="E5" s="235"/>
      <c r="F5" s="235"/>
      <c r="G5" s="235"/>
      <c r="H5" s="235"/>
      <c r="I5" s="235"/>
      <c r="J5" s="235"/>
      <c r="K5" s="235"/>
      <c r="L5" s="235"/>
      <c r="M5" s="235"/>
      <c r="N5" s="235"/>
      <c r="O5" s="235"/>
      <c r="P5" s="235"/>
      <c r="Q5" s="235"/>
      <c r="R5" s="235"/>
      <c r="S5" s="235"/>
      <c r="T5" s="235"/>
      <c r="U5" s="235"/>
      <c r="V5" s="235"/>
      <c r="W5" s="173"/>
    </row>
    <row r="6" spans="1:58" ht="22" customHeight="1">
      <c r="A6" s="181"/>
      <c r="B6" s="236" t="str">
        <f>"TOTAL EXPOSURE"&amp;CHAR(10)&amp;'04_Portfolio_KPIs'!$D$6&amp;CHAR(10)&amp;"Synthetic CIB portfolio"</f>
        <v>TOTAL EXPOSURE
4,820 €m
Synthetic CIB portfolio</v>
      </c>
      <c r="C6" s="237"/>
      <c r="D6" s="238"/>
      <c r="E6" s="181"/>
      <c r="F6" s="236" t="str">
        <f>"FINANCED EMISSIONS"&amp;CHAR(10)&amp;'04_Portfolio_KPIs'!$D$7&amp;CHAR(10)&amp;"Portfolio footprint"</f>
        <v>FINANCED EMISSIONS
8,100 ktCO₂e
Portfolio footprint</v>
      </c>
      <c r="G6" s="237"/>
      <c r="H6" s="238"/>
      <c r="I6" s="181"/>
      <c r="J6" s="236" t="str">
        <f>"CARBON INTENSITY"&amp;CHAR(10)&amp;'04_Portfolio_KPIs'!$D$8&amp;CHAR(10)&amp;"tCO₂e / €m"</f>
        <v>CARBON INTENSITY
1,681 tCO₂e / €m
tCO₂e / €m</v>
      </c>
      <c r="K6" s="237"/>
      <c r="L6" s="238"/>
      <c r="M6" s="181"/>
      <c r="N6" s="236" t="str">
        <f>"TOP 10 CONCENTRATION"&amp;CHAR(10)&amp;'04_Portfolio_KPIs'!$D$12&amp;CHAR(10)&amp;"Name concentration"</f>
        <v>TOP 10 CONCENTRATION
59.6%
Name concentration</v>
      </c>
      <c r="O6" s="237"/>
      <c r="P6" s="238"/>
      <c r="Q6" s="181"/>
      <c r="R6" s="236" t="str">
        <f>"MISALIGNED EXPOSURE"&amp;CHAR(10)&amp;'04_Portfolio_KPIs'!$D$18&amp;CHAR(10)&amp;"Priority bucket"</f>
        <v>MISALIGNED EXPOSURE
34.6%
Priority bucket</v>
      </c>
      <c r="S6" s="237"/>
      <c r="T6" s="238"/>
      <c r="U6" s="181"/>
      <c r="V6" s="181"/>
      <c r="W6" s="173"/>
      <c r="Y6" s="177" t="s">
        <v>14</v>
      </c>
      <c r="Z6" s="177" t="s">
        <v>588</v>
      </c>
      <c r="AA6" s="177" t="s">
        <v>632</v>
      </c>
      <c r="AB6" s="177"/>
      <c r="AC6" s="177" t="s">
        <v>442</v>
      </c>
      <c r="AD6" s="177" t="s">
        <v>405</v>
      </c>
      <c r="AE6" s="177" t="s">
        <v>407</v>
      </c>
      <c r="AF6" s="177" t="s">
        <v>409</v>
      </c>
      <c r="AG6" s="177"/>
      <c r="AH6" s="177" t="s">
        <v>633</v>
      </c>
      <c r="AI6" s="177" t="s">
        <v>588</v>
      </c>
      <c r="AJ6" s="177" t="s">
        <v>14</v>
      </c>
      <c r="AK6" s="177"/>
      <c r="AL6" s="177" t="s">
        <v>14</v>
      </c>
      <c r="AM6" s="177" t="s">
        <v>634</v>
      </c>
      <c r="AN6" s="177" t="s">
        <v>363</v>
      </c>
      <c r="AO6" s="177"/>
      <c r="AP6" s="177" t="s">
        <v>635</v>
      </c>
      <c r="AQ6" s="177" t="s">
        <v>636</v>
      </c>
      <c r="AR6" s="177"/>
      <c r="AS6" s="177" t="s">
        <v>637</v>
      </c>
      <c r="AT6" s="177" t="s">
        <v>636</v>
      </c>
      <c r="AU6" s="177"/>
      <c r="AV6" s="177" t="s">
        <v>638</v>
      </c>
      <c r="AW6" s="177" t="s">
        <v>639</v>
      </c>
      <c r="AX6" s="177" t="s">
        <v>14</v>
      </c>
      <c r="AY6" s="177" t="s">
        <v>640</v>
      </c>
      <c r="AZ6" s="177" t="s">
        <v>641</v>
      </c>
      <c r="BA6" s="177" t="s">
        <v>642</v>
      </c>
      <c r="BB6" s="177" t="s">
        <v>643</v>
      </c>
      <c r="BC6" s="177" t="s">
        <v>644</v>
      </c>
      <c r="BD6" s="177" t="s">
        <v>475</v>
      </c>
      <c r="BE6" s="177" t="s">
        <v>645</v>
      </c>
      <c r="BF6" s="177" t="s">
        <v>646</v>
      </c>
    </row>
    <row r="7" spans="1:58" ht="22" customHeight="1">
      <c r="A7" s="181"/>
      <c r="B7" s="239"/>
      <c r="C7" s="240"/>
      <c r="D7" s="241"/>
      <c r="E7" s="181"/>
      <c r="F7" s="239"/>
      <c r="G7" s="240"/>
      <c r="H7" s="241"/>
      <c r="I7" s="181"/>
      <c r="J7" s="239"/>
      <c r="K7" s="240"/>
      <c r="L7" s="241"/>
      <c r="M7" s="181"/>
      <c r="N7" s="239"/>
      <c r="O7" s="240"/>
      <c r="P7" s="241"/>
      <c r="Q7" s="181"/>
      <c r="R7" s="239"/>
      <c r="S7" s="240"/>
      <c r="T7" s="241"/>
      <c r="U7" s="181"/>
      <c r="V7" s="181"/>
      <c r="W7" s="173"/>
      <c r="Y7" s="177" t="str">
        <f>'05_Sector_Pathways'!$B$20</f>
        <v>Oil &amp; Gas</v>
      </c>
      <c r="Z7" s="178">
        <f>'05_Sector_Pathways'!$D$20</f>
        <v>1649.9981563476774</v>
      </c>
      <c r="AA7" s="178">
        <f>'05_Sector_Pathways'!$C$20</f>
        <v>640</v>
      </c>
      <c r="AB7" s="177"/>
      <c r="AC7" s="177">
        <f>2024</f>
        <v>2024</v>
      </c>
      <c r="AD7" s="177">
        <f>'05_Sector_Pathways'!$D$176</f>
        <v>100.00000000000001</v>
      </c>
      <c r="AE7" s="177">
        <f>'05_Sector_Pathways'!$D$177</f>
        <v>100.00000000000001</v>
      </c>
      <c r="AF7" s="177">
        <f>'05_Sector_Pathways'!$D$178</f>
        <v>100.00000000000001</v>
      </c>
      <c r="AG7" s="177"/>
      <c r="AH7" s="177" t="str">
        <f>'03_Financed_Emissions'!$C$6</f>
        <v>Helios Steel Group</v>
      </c>
      <c r="AI7" s="178">
        <f>'03_Financed_Emissions'!$L$6</f>
        <v>690.00012268240312</v>
      </c>
      <c r="AJ7" s="177" t="str">
        <f>'03_Financed_Emissions'!$D$6</f>
        <v>Steel</v>
      </c>
      <c r="AK7" s="177"/>
      <c r="AL7" s="177" t="str">
        <f>'05_Sector_Pathways'!$B$34</f>
        <v>Oil &amp; Gas</v>
      </c>
      <c r="AM7" s="179">
        <f>'05_Sector_Pathways'!$R$34*100</f>
        <v>72.000000000000085</v>
      </c>
      <c r="AN7" s="177" t="str">
        <f>'05_Sector_Pathways'!$S$34</f>
        <v>High</v>
      </c>
      <c r="AO7" s="177"/>
      <c r="AP7" s="177" t="s">
        <v>647</v>
      </c>
      <c r="AQ7" s="180">
        <f>'04_Portfolio_KPIs'!$C$9</f>
        <v>0.47506191812033316</v>
      </c>
      <c r="AR7" s="177"/>
      <c r="AS7" s="177" t="s">
        <v>453</v>
      </c>
      <c r="AT7" s="180">
        <f>'04_Portfolio_KPIs'!$C$16</f>
        <v>0.28400000000000003</v>
      </c>
      <c r="AU7" s="177"/>
      <c r="AV7" s="177" t="str">
        <f>$L$54</f>
        <v>TX04</v>
      </c>
      <c r="AW7" s="177" t="str">
        <f>INDEX('07_Transaction_Simulator'!$B$21:$B$25,MATCH($AV$7,'07_Transaction_Simulator'!$C$21:$C$25,0))</f>
        <v>Oil &amp; Gas upstream corporate facility</v>
      </c>
      <c r="AX7" s="177" t="str">
        <f>INDEX('07_Transaction_Simulator'!$D$21:$D$25,MATCH($AV$7,'07_Transaction_Simulator'!$C$21:$C$25,0))</f>
        <v>Oil &amp; Gas</v>
      </c>
      <c r="AY7" s="177">
        <f>INDEX('07_Transaction_Simulator'!$G$21:$G$25,MATCH($AV$7,'07_Transaction_Simulator'!$C$21:$C$25,0))</f>
        <v>130</v>
      </c>
      <c r="AZ7" s="177">
        <f>INDEX('07_Transaction_Simulator'!$H$21:$H$25,MATCH($AV$7,'07_Transaction_Simulator'!$C$21:$C$25,0))</f>
        <v>520</v>
      </c>
      <c r="BA7" s="177">
        <f>INDEX('07_Transaction_Simulator'!$P$21:$P$25,MATCH($AV$7,'07_Transaction_Simulator'!$C$21:$C$25,0))</f>
        <v>3.5693039857227937E-2</v>
      </c>
      <c r="BB7" s="177">
        <f>INDEX('07_Transaction_Simulator'!$S$21:$S$25,MATCH($AV$7,'07_Transaction_Simulator'!$C$21:$C$25,0))</f>
        <v>2.85</v>
      </c>
      <c r="BC7" s="177" t="str">
        <f>INDEX('07_Transaction_Simulator'!$AA$21:$AA$25,MATCH($AV$7,'07_Transaction_Simulator'!$C$21:$C$25,0))</f>
        <v>Misaligned exposure increases to 36.3%</v>
      </c>
      <c r="BD7" s="177" t="str">
        <f>INDEX('07_Transaction_Simulator'!$AB$21:$AB$25,MATCH($AV$7,'07_Transaction_Simulator'!$C$21:$C$25,0))</f>
        <v>Enhanced due diligence / portfolio committee review</v>
      </c>
      <c r="BE7" s="177">
        <f>INDEX('07_Transaction_Simulator'!$I$21:$I$25,MATCH($AV$7,'07_Transaction_Simulator'!$C$21:$C$25,0))</f>
        <v>4000</v>
      </c>
      <c r="BF7" s="177">
        <f>INDEX('07_Transaction_Simulator'!$O$21:$O$25,MATCH($AV$7,'07_Transaction_Simulator'!$C$21:$C$25,0))</f>
        <v>1741</v>
      </c>
    </row>
    <row r="8" spans="1:58" ht="22" customHeight="1">
      <c r="A8" s="181"/>
      <c r="B8" s="239"/>
      <c r="C8" s="240"/>
      <c r="D8" s="241"/>
      <c r="E8" s="181"/>
      <c r="F8" s="239"/>
      <c r="G8" s="240"/>
      <c r="H8" s="241"/>
      <c r="I8" s="181"/>
      <c r="J8" s="239"/>
      <c r="K8" s="240"/>
      <c r="L8" s="241"/>
      <c r="M8" s="181"/>
      <c r="N8" s="239"/>
      <c r="O8" s="240"/>
      <c r="P8" s="241"/>
      <c r="Q8" s="181"/>
      <c r="R8" s="239"/>
      <c r="S8" s="240"/>
      <c r="T8" s="241"/>
      <c r="U8" s="181"/>
      <c r="V8" s="181"/>
      <c r="W8" s="173"/>
      <c r="Y8" s="177" t="str">
        <f>'05_Sector_Pathways'!$B$21</f>
        <v>Cement</v>
      </c>
      <c r="Z8" s="178">
        <f>'05_Sector_Pathways'!$D$21</f>
        <v>779.99693262567428</v>
      </c>
      <c r="AA8" s="178">
        <f>'05_Sector_Pathways'!$C$21</f>
        <v>310</v>
      </c>
      <c r="AB8" s="177"/>
      <c r="AC8" s="177">
        <f>2026</f>
        <v>2026</v>
      </c>
      <c r="AD8" s="177">
        <f>'05_Sector_Pathways'!$E$176</f>
        <v>96.000000000000014</v>
      </c>
      <c r="AE8" s="177">
        <f>'05_Sector_Pathways'!$E$177</f>
        <v>86.000000000000014</v>
      </c>
      <c r="AF8" s="177">
        <f>'05_Sector_Pathways'!$E$178</f>
        <v>78.000000000000014</v>
      </c>
      <c r="AG8" s="177"/>
      <c r="AH8" s="177" t="str">
        <f>'03_Financed_Emissions'!$C$7</f>
        <v>Aster Energy Holdings</v>
      </c>
      <c r="AI8" s="178">
        <f>'03_Financed_Emissions'!$L$7</f>
        <v>609.99950544381727</v>
      </c>
      <c r="AJ8" s="177" t="str">
        <f>'03_Financed_Emissions'!$D$7</f>
        <v>Oil &amp; Gas</v>
      </c>
      <c r="AK8" s="177"/>
      <c r="AL8" s="177" t="str">
        <f>'05_Sector_Pathways'!$B$35</f>
        <v>Cement</v>
      </c>
      <c r="AM8" s="179">
        <f>'05_Sector_Pathways'!$R$35*100</f>
        <v>60.000000000000028</v>
      </c>
      <c r="AN8" s="177" t="str">
        <f>'05_Sector_Pathways'!$S$35</f>
        <v>High</v>
      </c>
      <c r="AO8" s="177"/>
      <c r="AP8" s="177" t="s">
        <v>648</v>
      </c>
      <c r="AQ8" s="180">
        <f>'04_Portfolio_KPIs'!$C$10</f>
        <v>7.2962927742948727E-2</v>
      </c>
      <c r="AR8" s="177"/>
      <c r="AS8" s="177" t="s">
        <v>454</v>
      </c>
      <c r="AT8" s="180">
        <f>'04_Portfolio_KPIs'!$C$17</f>
        <v>0.37</v>
      </c>
      <c r="AU8" s="177"/>
      <c r="AV8" s="177"/>
      <c r="AW8" s="177"/>
      <c r="AX8" s="177"/>
      <c r="AY8" s="177"/>
      <c r="AZ8" s="177"/>
      <c r="BA8" s="177"/>
      <c r="BB8" s="177"/>
      <c r="BC8" s="177"/>
      <c r="BD8" s="177"/>
      <c r="BE8" s="177"/>
      <c r="BF8" s="177"/>
    </row>
    <row r="9" spans="1:58" ht="22" customHeight="1">
      <c r="A9" s="181"/>
      <c r="B9" s="239"/>
      <c r="C9" s="240"/>
      <c r="D9" s="241"/>
      <c r="E9" s="181"/>
      <c r="F9" s="239"/>
      <c r="G9" s="240"/>
      <c r="H9" s="241"/>
      <c r="I9" s="181"/>
      <c r="J9" s="239"/>
      <c r="K9" s="240"/>
      <c r="L9" s="241"/>
      <c r="M9" s="181"/>
      <c r="N9" s="239"/>
      <c r="O9" s="240"/>
      <c r="P9" s="241"/>
      <c r="Q9" s="181"/>
      <c r="R9" s="239"/>
      <c r="S9" s="240"/>
      <c r="T9" s="241"/>
      <c r="U9" s="181"/>
      <c r="V9" s="181"/>
      <c r="W9" s="173"/>
      <c r="Y9" s="177" t="str">
        <f>'05_Sector_Pathways'!$B$22</f>
        <v>Steel</v>
      </c>
      <c r="Z9" s="178">
        <f>'05_Sector_Pathways'!$D$22</f>
        <v>989.99948091063152</v>
      </c>
      <c r="AA9" s="178">
        <f>'05_Sector_Pathways'!$C$22</f>
        <v>390</v>
      </c>
      <c r="AB9" s="177"/>
      <c r="AC9" s="177">
        <f>2030</f>
        <v>2030</v>
      </c>
      <c r="AD9" s="177">
        <f>'05_Sector_Pathways'!$F$176</f>
        <v>90.000000000000014</v>
      </c>
      <c r="AE9" s="177">
        <f>'05_Sector_Pathways'!$F$177</f>
        <v>67.000000000000014</v>
      </c>
      <c r="AF9" s="177">
        <f>'05_Sector_Pathways'!$F$178</f>
        <v>51</v>
      </c>
      <c r="AG9" s="177"/>
      <c r="AH9" s="177" t="str">
        <f>'03_Financed_Emissions'!$C$8</f>
        <v>Orion Grid Infrastructure</v>
      </c>
      <c r="AI9" s="178">
        <f>'03_Financed_Emissions'!$L$8</f>
        <v>579.99884517741827</v>
      </c>
      <c r="AJ9" s="177" t="str">
        <f>'03_Financed_Emissions'!$D$8</f>
        <v>Power &amp; Utilities</v>
      </c>
      <c r="AK9" s="177"/>
      <c r="AL9" s="177" t="str">
        <f>'05_Sector_Pathways'!$B$36</f>
        <v>Steel</v>
      </c>
      <c r="AM9" s="179">
        <f>'05_Sector_Pathways'!$R$36*100</f>
        <v>53</v>
      </c>
      <c r="AN9" s="177" t="str">
        <f>'05_Sector_Pathways'!$S$36</f>
        <v>High</v>
      </c>
      <c r="AO9" s="177"/>
      <c r="AP9" s="177" t="s">
        <v>649</v>
      </c>
      <c r="AQ9" s="180">
        <f>'04_Portfolio_KPIs'!$C$11</f>
        <v>0.45197515413671796</v>
      </c>
      <c r="AR9" s="177"/>
      <c r="AS9" s="177" t="s">
        <v>456</v>
      </c>
      <c r="AT9" s="180">
        <f>'04_Portfolio_KPIs'!$C$18</f>
        <v>0.34600000000000003</v>
      </c>
      <c r="AU9" s="177"/>
      <c r="AV9" s="177"/>
      <c r="AW9" s="177"/>
      <c r="AX9" s="177"/>
      <c r="AY9" s="177"/>
      <c r="AZ9" s="177"/>
      <c r="BA9" s="177"/>
      <c r="BB9" s="177"/>
      <c r="BC9" s="177"/>
      <c r="BD9" s="177"/>
      <c r="BE9" s="177"/>
      <c r="BF9" s="177"/>
    </row>
    <row r="10" spans="1:58" ht="22" customHeight="1">
      <c r="A10" s="181"/>
      <c r="B10" s="242"/>
      <c r="C10" s="243"/>
      <c r="D10" s="244"/>
      <c r="E10" s="181"/>
      <c r="F10" s="242"/>
      <c r="G10" s="243"/>
      <c r="H10" s="244"/>
      <c r="I10" s="181"/>
      <c r="J10" s="242"/>
      <c r="K10" s="243"/>
      <c r="L10" s="244"/>
      <c r="M10" s="181"/>
      <c r="N10" s="242"/>
      <c r="O10" s="243"/>
      <c r="P10" s="244"/>
      <c r="Q10" s="181"/>
      <c r="R10" s="242"/>
      <c r="S10" s="243"/>
      <c r="T10" s="244"/>
      <c r="U10" s="181"/>
      <c r="V10" s="181"/>
      <c r="W10" s="173"/>
      <c r="Y10" s="177" t="str">
        <f>'05_Sector_Pathways'!$B$23</f>
        <v>Aviation</v>
      </c>
      <c r="Z10" s="178">
        <f>'05_Sector_Pathways'!$D$23</f>
        <v>630.00120424864235</v>
      </c>
      <c r="AA10" s="178">
        <f>'05_Sector_Pathways'!$C$23</f>
        <v>335</v>
      </c>
      <c r="AB10" s="177"/>
      <c r="AC10" s="177">
        <f>2040</f>
        <v>2040</v>
      </c>
      <c r="AD10" s="177">
        <f>'05_Sector_Pathways'!$G$176</f>
        <v>69.999999999999986</v>
      </c>
      <c r="AE10" s="177">
        <f>'05_Sector_Pathways'!$G$177</f>
        <v>38</v>
      </c>
      <c r="AF10" s="177">
        <f>'05_Sector_Pathways'!$G$178</f>
        <v>24</v>
      </c>
      <c r="AG10" s="177"/>
      <c r="AH10" s="177" t="str">
        <f>'03_Financed_Emissions'!$C$9</f>
        <v>Nova Cement Materials</v>
      </c>
      <c r="AI10" s="178">
        <f>'03_Financed_Emissions'!$L$9</f>
        <v>539.99788191780931</v>
      </c>
      <c r="AJ10" s="177" t="str">
        <f>'03_Financed_Emissions'!$D$9</f>
        <v>Cement</v>
      </c>
      <c r="AK10" s="177"/>
      <c r="AL10" s="177" t="str">
        <f>'05_Sector_Pathways'!$B$37</f>
        <v>Aviation</v>
      </c>
      <c r="AM10" s="179">
        <f>'05_Sector_Pathways'!$R$37*100</f>
        <v>47.999999999999979</v>
      </c>
      <c r="AN10" s="177" t="str">
        <f>'05_Sector_Pathways'!$S$37</f>
        <v>High</v>
      </c>
      <c r="AO10" s="177"/>
      <c r="AP10" s="177"/>
      <c r="AQ10" s="177"/>
      <c r="AR10" s="177"/>
      <c r="AS10" s="177"/>
      <c r="AT10" s="177"/>
      <c r="AU10" s="177"/>
      <c r="AV10" s="177"/>
      <c r="AW10" s="177"/>
      <c r="AX10" s="177"/>
      <c r="AY10" s="177"/>
      <c r="AZ10" s="177"/>
      <c r="BA10" s="177"/>
      <c r="BB10" s="177"/>
      <c r="BC10" s="177"/>
      <c r="BD10" s="177"/>
      <c r="BE10" s="177"/>
      <c r="BF10" s="177"/>
    </row>
    <row r="11" spans="1:58" ht="18" customHeight="1">
      <c r="A11" s="181"/>
      <c r="B11" s="181"/>
      <c r="C11" s="181"/>
      <c r="D11" s="181"/>
      <c r="E11" s="181"/>
      <c r="F11" s="181"/>
      <c r="G11" s="181"/>
      <c r="H11" s="181"/>
      <c r="I11" s="181"/>
      <c r="J11" s="181"/>
      <c r="K11" s="181"/>
      <c r="L11" s="181"/>
      <c r="M11" s="181"/>
      <c r="N11" s="181"/>
      <c r="O11" s="181"/>
      <c r="P11" s="181"/>
      <c r="Q11" s="181"/>
      <c r="R11" s="181"/>
      <c r="S11" s="181"/>
      <c r="T11" s="181"/>
      <c r="U11" s="181"/>
      <c r="V11" s="181"/>
      <c r="W11" s="173"/>
      <c r="Y11" s="177" t="str">
        <f>'05_Sector_Pathways'!$B$24</f>
        <v>Power &amp; Utilities</v>
      </c>
      <c r="Z11" s="178">
        <f>'05_Sector_Pathways'!$D$24</f>
        <v>1420.0050758834684</v>
      </c>
      <c r="AA11" s="178">
        <f>'05_Sector_Pathways'!$C$24</f>
        <v>720</v>
      </c>
      <c r="AB11" s="177"/>
      <c r="AC11" s="177">
        <f>2050</f>
        <v>2050</v>
      </c>
      <c r="AD11" s="177">
        <f>'05_Sector_Pathways'!$H$176</f>
        <v>54.999999999999993</v>
      </c>
      <c r="AE11" s="177">
        <f>'05_Sector_Pathways'!$H$177</f>
        <v>18</v>
      </c>
      <c r="AF11" s="177">
        <f>'05_Sector_Pathways'!$H$178</f>
        <v>10.000000000000002</v>
      </c>
      <c r="AG11" s="177"/>
      <c r="AH11" s="177" t="str">
        <f>'03_Financed_Emissions'!$C$10</f>
        <v>Mariner Aviation Systems</v>
      </c>
      <c r="AI11" s="178">
        <f>'03_Financed_Emissions'!$L$10</f>
        <v>475.00110069519803</v>
      </c>
      <c r="AJ11" s="177" t="str">
        <f>'03_Financed_Emissions'!$D$10</f>
        <v>Aviation</v>
      </c>
      <c r="AK11" s="177"/>
      <c r="AL11" s="177" t="str">
        <f>'05_Sector_Pathways'!$B$38</f>
        <v>Power &amp; Utilities</v>
      </c>
      <c r="AM11" s="179">
        <f>'05_Sector_Pathways'!$R$38*100</f>
        <v>28.000000000000004</v>
      </c>
      <c r="AN11" s="177" t="str">
        <f>'05_Sector_Pathways'!$S$38</f>
        <v>Medium</v>
      </c>
      <c r="AO11" s="177"/>
      <c r="AP11" s="177"/>
      <c r="AQ11" s="177"/>
      <c r="AR11" s="177"/>
      <c r="AS11" s="177"/>
      <c r="AT11" s="177"/>
      <c r="AU11" s="177"/>
      <c r="AV11" s="177"/>
      <c r="AW11" s="177"/>
      <c r="AX11" s="177"/>
      <c r="AY11" s="177"/>
      <c r="AZ11" s="177"/>
      <c r="BA11" s="177"/>
      <c r="BB11" s="177"/>
      <c r="BC11" s="177"/>
      <c r="BD11" s="177"/>
      <c r="BE11" s="177"/>
      <c r="BF11" s="177"/>
    </row>
    <row r="12" spans="1:58" ht="20" customHeight="1">
      <c r="A12" s="181" t="s">
        <v>11</v>
      </c>
      <c r="B12" s="200" t="s">
        <v>650</v>
      </c>
      <c r="C12" s="198"/>
      <c r="D12" s="198"/>
      <c r="E12" s="198"/>
      <c r="F12" s="198"/>
      <c r="G12" s="198"/>
      <c r="H12" s="198"/>
      <c r="I12" s="198"/>
      <c r="J12" s="198"/>
      <c r="K12" s="181"/>
      <c r="L12" s="200" t="s">
        <v>651</v>
      </c>
      <c r="M12" s="198"/>
      <c r="N12" s="198"/>
      <c r="O12" s="198"/>
      <c r="P12" s="198"/>
      <c r="Q12" s="198"/>
      <c r="R12" s="198"/>
      <c r="S12" s="198"/>
      <c r="T12" s="206"/>
      <c r="U12" s="198"/>
      <c r="V12" s="199"/>
      <c r="W12" s="173"/>
      <c r="Y12" s="177" t="str">
        <f>'05_Sector_Pathways'!$B$25</f>
        <v>Chemicals</v>
      </c>
      <c r="Z12" s="178">
        <f>'05_Sector_Pathways'!$D$25</f>
        <v>779.99590545696572</v>
      </c>
      <c r="AA12" s="178">
        <f>'05_Sector_Pathways'!$C$25</f>
        <v>460</v>
      </c>
      <c r="AB12" s="177"/>
      <c r="AC12" s="177"/>
      <c r="AD12" s="177"/>
      <c r="AE12" s="177"/>
      <c r="AF12" s="177"/>
      <c r="AG12" s="177"/>
      <c r="AH12" s="177" t="str">
        <f>'03_Financed_Emissions'!$C$11</f>
        <v>BlueHarbor Shipping</v>
      </c>
      <c r="AI12" s="178">
        <f>'03_Financed_Emissions'!$L$11</f>
        <v>444.99909311186053</v>
      </c>
      <c r="AJ12" s="177" t="str">
        <f>'03_Financed_Emissions'!$D$11</f>
        <v>Shipping</v>
      </c>
      <c r="AK12" s="177"/>
      <c r="AL12" s="177" t="str">
        <f>'05_Sector_Pathways'!$B$39</f>
        <v>Chemicals</v>
      </c>
      <c r="AM12" s="179">
        <f>'05_Sector_Pathways'!$R$39*100</f>
        <v>21.999999999999996</v>
      </c>
      <c r="AN12" s="177" t="str">
        <f>'05_Sector_Pathways'!$S$39</f>
        <v>Medium</v>
      </c>
      <c r="AO12" s="177"/>
      <c r="AP12" s="177"/>
      <c r="AQ12" s="177"/>
      <c r="AR12" s="177"/>
      <c r="AS12" s="177"/>
      <c r="AT12" s="177"/>
      <c r="AU12" s="177"/>
      <c r="AV12" s="177"/>
      <c r="AW12" s="177"/>
      <c r="AX12" s="177"/>
      <c r="AY12" s="177"/>
      <c r="AZ12" s="177"/>
      <c r="BA12" s="177"/>
      <c r="BB12" s="177"/>
      <c r="BC12" s="177"/>
      <c r="BD12" s="177"/>
      <c r="BE12" s="177"/>
      <c r="BF12" s="177"/>
    </row>
    <row r="13" spans="1:58" ht="18" customHeight="1">
      <c r="A13" s="181"/>
      <c r="B13" s="182"/>
      <c r="C13" s="183"/>
      <c r="D13" s="183"/>
      <c r="E13" s="183"/>
      <c r="F13" s="183"/>
      <c r="G13" s="183"/>
      <c r="H13" s="183"/>
      <c r="I13" s="183"/>
      <c r="J13" s="183"/>
      <c r="K13" s="181"/>
      <c r="L13" s="182"/>
      <c r="M13" s="183"/>
      <c r="N13" s="183"/>
      <c r="O13" s="183"/>
      <c r="P13" s="183"/>
      <c r="Q13" s="183"/>
      <c r="R13" s="183"/>
      <c r="S13" s="183"/>
      <c r="T13" s="207"/>
      <c r="U13" s="183"/>
      <c r="V13" s="184"/>
      <c r="W13" s="173"/>
      <c r="Y13" s="177" t="str">
        <f>'05_Sector_Pathways'!$B$26</f>
        <v>Shipping</v>
      </c>
      <c r="Z13" s="178">
        <f>'05_Sector_Pathways'!$D$26</f>
        <v>519.99970400217978</v>
      </c>
      <c r="AA13" s="178">
        <f>'05_Sector_Pathways'!$C$26</f>
        <v>330</v>
      </c>
      <c r="AB13" s="177"/>
      <c r="AC13" s="177"/>
      <c r="AD13" s="177"/>
      <c r="AE13" s="177"/>
      <c r="AF13" s="177"/>
      <c r="AG13" s="177"/>
      <c r="AH13" s="177" t="str">
        <f>'03_Financed_Emissions'!$C$12</f>
        <v>Caldera Petrochem Industries</v>
      </c>
      <c r="AI13" s="178">
        <f>'03_Financed_Emissions'!$L$12</f>
        <v>424.99945251265353</v>
      </c>
      <c r="AJ13" s="177" t="str">
        <f>'03_Financed_Emissions'!$D$12</f>
        <v>Chemicals</v>
      </c>
      <c r="AK13" s="177"/>
      <c r="AL13" s="177" t="str">
        <f>'05_Sector_Pathways'!$B$40</f>
        <v>Shipping</v>
      </c>
      <c r="AM13" s="179">
        <f>'05_Sector_Pathways'!$R$40*100</f>
        <v>15.999999999999993</v>
      </c>
      <c r="AN13" s="177" t="str">
        <f>'05_Sector_Pathways'!$S$40</f>
        <v>Medium</v>
      </c>
      <c r="AO13" s="177"/>
      <c r="AP13" s="177"/>
      <c r="AQ13" s="177"/>
      <c r="AR13" s="177"/>
      <c r="AS13" s="177"/>
      <c r="AT13" s="177"/>
      <c r="AU13" s="177"/>
      <c r="AV13" s="177"/>
      <c r="AW13" s="177"/>
      <c r="AX13" s="177"/>
      <c r="AY13" s="177"/>
      <c r="AZ13" s="177"/>
      <c r="BA13" s="177"/>
      <c r="BB13" s="177"/>
      <c r="BC13" s="177"/>
      <c r="BD13" s="177"/>
      <c r="BE13" s="177"/>
      <c r="BF13" s="177"/>
    </row>
    <row r="14" spans="1:58" ht="18" customHeight="1">
      <c r="A14" s="181"/>
      <c r="B14" s="185"/>
      <c r="C14" s="186"/>
      <c r="D14" s="186"/>
      <c r="E14" s="186"/>
      <c r="F14" s="186"/>
      <c r="G14" s="186"/>
      <c r="H14" s="186"/>
      <c r="I14" s="186"/>
      <c r="J14" s="186"/>
      <c r="K14" s="181"/>
      <c r="L14" s="185"/>
      <c r="M14" s="186"/>
      <c r="N14" s="186"/>
      <c r="O14" s="186"/>
      <c r="P14" s="186"/>
      <c r="Q14" s="186"/>
      <c r="R14" s="186"/>
      <c r="S14" s="186"/>
      <c r="T14" s="205"/>
      <c r="U14" s="186"/>
      <c r="V14" s="187"/>
      <c r="W14" s="173"/>
      <c r="Y14" s="177" t="str">
        <f>'05_Sector_Pathways'!$B$27</f>
        <v>Automotive</v>
      </c>
      <c r="Z14" s="178">
        <f>'05_Sector_Pathways'!$D$27</f>
        <v>460.00060655329071</v>
      </c>
      <c r="AA14" s="178">
        <f>'05_Sector_Pathways'!$C$27</f>
        <v>420</v>
      </c>
      <c r="AB14" s="177"/>
      <c r="AC14" s="177"/>
      <c r="AD14" s="177"/>
      <c r="AE14" s="177"/>
      <c r="AF14" s="177"/>
      <c r="AG14" s="177"/>
      <c r="AH14" s="177" t="str">
        <f>'03_Financed_Emissions'!$C$13</f>
        <v>TerraFood Ingredients</v>
      </c>
      <c r="AI14" s="178">
        <f>'03_Financed_Emissions'!$L$13</f>
        <v>390.00001323381173</v>
      </c>
      <c r="AJ14" s="177" t="str">
        <f>'03_Financed_Emissions'!$D$13</f>
        <v>Agriculture &amp; Food</v>
      </c>
      <c r="AK14" s="177"/>
      <c r="AL14" s="177" t="str">
        <f>'05_Sector_Pathways'!$B$41</f>
        <v>Automotive</v>
      </c>
      <c r="AM14" s="179">
        <f>'05_Sector_Pathways'!$R$41*100</f>
        <v>8.0000000000000071</v>
      </c>
      <c r="AN14" s="177" t="str">
        <f>'05_Sector_Pathways'!$S$41</f>
        <v>Medium</v>
      </c>
      <c r="AO14" s="177"/>
      <c r="AP14" s="177"/>
      <c r="AQ14" s="177"/>
      <c r="AR14" s="177"/>
      <c r="AS14" s="177"/>
      <c r="AT14" s="177"/>
      <c r="AU14" s="177"/>
      <c r="AV14" s="177"/>
      <c r="AW14" s="177"/>
      <c r="AX14" s="177"/>
      <c r="AY14" s="177"/>
      <c r="AZ14" s="177"/>
      <c r="BA14" s="177"/>
      <c r="BB14" s="177"/>
      <c r="BC14" s="177"/>
      <c r="BD14" s="177"/>
      <c r="BE14" s="177"/>
      <c r="BF14" s="177"/>
    </row>
    <row r="15" spans="1:58" ht="18" customHeight="1">
      <c r="A15" s="181"/>
      <c r="B15" s="185"/>
      <c r="C15" s="186"/>
      <c r="D15" s="186"/>
      <c r="E15" s="186"/>
      <c r="F15" s="186"/>
      <c r="G15" s="186"/>
      <c r="H15" s="186"/>
      <c r="I15" s="186"/>
      <c r="J15" s="186"/>
      <c r="K15" s="181"/>
      <c r="L15" s="185"/>
      <c r="M15" s="186"/>
      <c r="N15" s="186"/>
      <c r="O15" s="186"/>
      <c r="P15" s="186"/>
      <c r="Q15" s="186"/>
      <c r="R15" s="186"/>
      <c r="S15" s="186"/>
      <c r="T15" s="205"/>
      <c r="U15" s="186"/>
      <c r="V15" s="187"/>
      <c r="W15" s="173"/>
      <c r="Y15" s="177" t="str">
        <f>'05_Sector_Pathways'!$B$28</f>
        <v>Agriculture &amp; Food</v>
      </c>
      <c r="Z15" s="178">
        <f>'05_Sector_Pathways'!$D$28</f>
        <v>440.00004010241162</v>
      </c>
      <c r="AA15" s="178">
        <f>'05_Sector_Pathways'!$C$28</f>
        <v>395</v>
      </c>
      <c r="AB15" s="177"/>
      <c r="AC15" s="177"/>
      <c r="AD15" s="177"/>
      <c r="AE15" s="177"/>
      <c r="AF15" s="177"/>
      <c r="AG15" s="177"/>
      <c r="AH15" s="177" t="str">
        <f>'03_Financed_Emissions'!$C$14</f>
        <v>VoltEdge Power Assets</v>
      </c>
      <c r="AI15" s="178">
        <f>'03_Financed_Emissions'!$L$14</f>
        <v>385.00098250851255</v>
      </c>
      <c r="AJ15" s="177" t="str">
        <f>'03_Financed_Emissions'!$D$14</f>
        <v>Power &amp; Utilities</v>
      </c>
      <c r="AK15" s="177"/>
      <c r="AL15" s="177" t="str">
        <f>'05_Sector_Pathways'!$B$42</f>
        <v>Agriculture &amp; Food</v>
      </c>
      <c r="AM15" s="179">
        <f>'05_Sector_Pathways'!$R$42*100</f>
        <v>5.0000000000000266</v>
      </c>
      <c r="AN15" s="177" t="str">
        <f>'05_Sector_Pathways'!$S$42</f>
        <v>Medium</v>
      </c>
      <c r="AO15" s="177"/>
      <c r="AP15" s="177"/>
      <c r="AQ15" s="177"/>
      <c r="AR15" s="177"/>
      <c r="AS15" s="177"/>
      <c r="AT15" s="177"/>
      <c r="AU15" s="177"/>
      <c r="AV15" s="177"/>
      <c r="AW15" s="177"/>
      <c r="AX15" s="177"/>
      <c r="AY15" s="177"/>
      <c r="AZ15" s="177"/>
      <c r="BA15" s="177"/>
      <c r="BB15" s="177"/>
      <c r="BC15" s="177"/>
      <c r="BD15" s="177"/>
      <c r="BE15" s="177"/>
      <c r="BF15" s="177"/>
    </row>
    <row r="16" spans="1:58" ht="18" customHeight="1">
      <c r="A16" s="181"/>
      <c r="B16" s="185"/>
      <c r="C16" s="186"/>
      <c r="D16" s="186"/>
      <c r="E16" s="186"/>
      <c r="F16" s="186"/>
      <c r="G16" s="186"/>
      <c r="H16" s="186"/>
      <c r="I16" s="186"/>
      <c r="J16" s="186"/>
      <c r="K16" s="181"/>
      <c r="L16" s="185"/>
      <c r="M16" s="186"/>
      <c r="N16" s="186"/>
      <c r="O16" s="186"/>
      <c r="P16" s="186"/>
      <c r="Q16" s="186"/>
      <c r="R16" s="186"/>
      <c r="S16" s="186"/>
      <c r="T16" s="205"/>
      <c r="U16" s="186"/>
      <c r="V16" s="187"/>
      <c r="W16" s="173"/>
      <c r="Y16" s="177" t="str">
        <f>'05_Sector_Pathways'!$B$29</f>
        <v>Real Estate</v>
      </c>
      <c r="Z16" s="178">
        <f>'05_Sector_Pathways'!$D$29</f>
        <v>299.99984456606376</v>
      </c>
      <c r="AA16" s="178">
        <f>'05_Sector_Pathways'!$C$29</f>
        <v>520</v>
      </c>
      <c r="AB16" s="177"/>
      <c r="AC16" s="177"/>
      <c r="AD16" s="177"/>
      <c r="AE16" s="177"/>
      <c r="AF16" s="177"/>
      <c r="AG16" s="177"/>
      <c r="AH16" s="177" t="str">
        <f>'03_Financed_Emissions'!$C$15</f>
        <v>UrbanCore Properties</v>
      </c>
      <c r="AI16" s="178">
        <f>'03_Financed_Emissions'!$L$15</f>
        <v>289.99981963204323</v>
      </c>
      <c r="AJ16" s="177" t="str">
        <f>'03_Financed_Emissions'!$D$15</f>
        <v>Real Estate</v>
      </c>
      <c r="AK16" s="177"/>
      <c r="AL16" s="177" t="str">
        <f>'05_Sector_Pathways'!$B$43</f>
        <v>Real Estate</v>
      </c>
      <c r="AM16" s="179">
        <f>'05_Sector_Pathways'!$R$43*100</f>
        <v>-15.99999999999997</v>
      </c>
      <c r="AN16" s="177" t="str">
        <f>'05_Sector_Pathways'!$S$43</f>
        <v>Low</v>
      </c>
      <c r="AO16" s="177"/>
      <c r="AP16" s="177"/>
      <c r="AQ16" s="177"/>
      <c r="AR16" s="177"/>
      <c r="AS16" s="177"/>
      <c r="AT16" s="177"/>
      <c r="AU16" s="177"/>
      <c r="AV16" s="177"/>
      <c r="AW16" s="177"/>
      <c r="AX16" s="177"/>
      <c r="AY16" s="177"/>
      <c r="AZ16" s="177"/>
      <c r="BA16" s="177"/>
      <c r="BB16" s="177"/>
      <c r="BC16" s="177"/>
      <c r="BD16" s="177"/>
      <c r="BE16" s="177"/>
      <c r="BF16" s="177"/>
    </row>
    <row r="17" spans="1:58" ht="18" customHeight="1">
      <c r="A17" s="181"/>
      <c r="B17" s="185"/>
      <c r="C17" s="186"/>
      <c r="D17" s="186"/>
      <c r="E17" s="186"/>
      <c r="F17" s="186"/>
      <c r="G17" s="186"/>
      <c r="H17" s="186"/>
      <c r="I17" s="186"/>
      <c r="J17" s="186"/>
      <c r="K17" s="181"/>
      <c r="L17" s="185"/>
      <c r="M17" s="186"/>
      <c r="N17" s="186"/>
      <c r="O17" s="186"/>
      <c r="P17" s="186"/>
      <c r="Q17" s="186"/>
      <c r="R17" s="186"/>
      <c r="S17" s="186"/>
      <c r="T17" s="205"/>
      <c r="U17" s="186"/>
      <c r="V17" s="187"/>
      <c r="W17" s="173"/>
      <c r="Y17" s="177" t="str">
        <f>'05_Sector_Pathways'!$B$30</f>
        <v>Retail &amp; Services</v>
      </c>
      <c r="Z17" s="178">
        <f>'05_Sector_Pathways'!$D$30</f>
        <v>129.99978060188528</v>
      </c>
      <c r="AA17" s="178">
        <f>'05_Sector_Pathways'!$C$30</f>
        <v>300</v>
      </c>
      <c r="AB17" s="177"/>
      <c r="AC17" s="177"/>
      <c r="AD17" s="177"/>
      <c r="AE17" s="177"/>
      <c r="AF17" s="177"/>
      <c r="AG17" s="177"/>
      <c r="AH17" s="177"/>
      <c r="AI17" s="177"/>
      <c r="AJ17" s="177"/>
      <c r="AK17" s="177"/>
      <c r="AL17" s="177" t="str">
        <f>'05_Sector_Pathways'!$B$44</f>
        <v>Retail &amp; Services</v>
      </c>
      <c r="AM17" s="179">
        <f>'05_Sector_Pathways'!$R$44*100</f>
        <v>-20.999999999999996</v>
      </c>
      <c r="AN17" s="177" t="str">
        <f>'05_Sector_Pathways'!$S$44</f>
        <v>Low</v>
      </c>
      <c r="AO17" s="177"/>
      <c r="AP17" s="177"/>
      <c r="AQ17" s="177"/>
      <c r="AR17" s="177"/>
      <c r="AS17" s="177"/>
      <c r="AT17" s="177"/>
      <c r="AU17" s="177"/>
      <c r="AV17" s="177"/>
      <c r="AW17" s="177"/>
      <c r="AX17" s="177"/>
      <c r="AY17" s="177"/>
      <c r="AZ17" s="177"/>
      <c r="BA17" s="177"/>
      <c r="BB17" s="177"/>
      <c r="BC17" s="177"/>
      <c r="BD17" s="177"/>
      <c r="BE17" s="177"/>
      <c r="BF17" s="177"/>
    </row>
    <row r="18" spans="1:58" ht="18" customHeight="1">
      <c r="A18" s="181"/>
      <c r="B18" s="185"/>
      <c r="C18" s="186"/>
      <c r="D18" s="186"/>
      <c r="E18" s="186"/>
      <c r="F18" s="186"/>
      <c r="G18" s="186"/>
      <c r="H18" s="186"/>
      <c r="I18" s="186"/>
      <c r="J18" s="186"/>
      <c r="K18" s="181"/>
      <c r="L18" s="185"/>
      <c r="M18" s="186"/>
      <c r="N18" s="186"/>
      <c r="O18" s="186"/>
      <c r="P18" s="186"/>
      <c r="Q18" s="186"/>
      <c r="R18" s="186"/>
      <c r="S18" s="186"/>
      <c r="T18" s="205"/>
      <c r="U18" s="186"/>
      <c r="V18" s="187"/>
      <c r="W18" s="173"/>
      <c r="Y18" s="177"/>
      <c r="Z18" s="177"/>
      <c r="AA18" s="177"/>
      <c r="AB18" s="177"/>
      <c r="AC18" s="177"/>
      <c r="AD18" s="177"/>
      <c r="AE18" s="177"/>
      <c r="AF18" s="177"/>
      <c r="AG18" s="177"/>
      <c r="AH18" s="177"/>
      <c r="AI18" s="177"/>
      <c r="AJ18" s="177"/>
      <c r="AK18" s="177"/>
      <c r="AL18" s="177"/>
      <c r="AM18" s="177"/>
      <c r="AN18" s="177"/>
      <c r="AO18" s="177"/>
      <c r="AP18" s="177"/>
      <c r="AQ18" s="177"/>
      <c r="AR18" s="177"/>
      <c r="AS18" s="177"/>
      <c r="AT18" s="177"/>
      <c r="AU18" s="177"/>
      <c r="AV18" s="177"/>
      <c r="AW18" s="177"/>
      <c r="AX18" s="177"/>
      <c r="AY18" s="177"/>
      <c r="AZ18" s="177"/>
      <c r="BA18" s="177"/>
      <c r="BB18" s="177"/>
      <c r="BC18" s="177"/>
      <c r="BD18" s="177"/>
      <c r="BE18" s="177"/>
      <c r="BF18" s="177"/>
    </row>
    <row r="19" spans="1:58" ht="18" customHeight="1">
      <c r="A19" s="181"/>
      <c r="B19" s="185"/>
      <c r="C19" s="186"/>
      <c r="D19" s="186"/>
      <c r="E19" s="186"/>
      <c r="F19" s="186"/>
      <c r="G19" s="186"/>
      <c r="H19" s="186"/>
      <c r="I19" s="186"/>
      <c r="J19" s="186"/>
      <c r="K19" s="181"/>
      <c r="L19" s="185"/>
      <c r="M19" s="186"/>
      <c r="N19" s="186"/>
      <c r="O19" s="186"/>
      <c r="P19" s="186"/>
      <c r="Q19" s="186"/>
      <c r="R19" s="186"/>
      <c r="S19" s="186"/>
      <c r="T19" s="205"/>
      <c r="U19" s="186"/>
      <c r="V19" s="187"/>
      <c r="W19" s="173"/>
      <c r="Y19" s="177"/>
      <c r="Z19" s="177"/>
      <c r="AA19" s="177"/>
      <c r="AB19" s="177"/>
      <c r="AC19" s="177"/>
      <c r="AD19" s="177"/>
      <c r="AE19" s="177"/>
      <c r="AF19" s="177"/>
      <c r="AG19" s="177"/>
      <c r="AH19" s="177"/>
      <c r="AI19" s="177"/>
      <c r="AJ19" s="177"/>
      <c r="AK19" s="177"/>
      <c r="AL19" s="177"/>
      <c r="AM19" s="177"/>
      <c r="AN19" s="177"/>
      <c r="AO19" s="177"/>
      <c r="AP19" s="177"/>
      <c r="AQ19" s="177"/>
      <c r="AR19" s="177"/>
      <c r="AS19" s="177"/>
      <c r="AT19" s="177"/>
      <c r="AU19" s="177"/>
      <c r="AV19" s="177"/>
      <c r="AW19" s="177"/>
      <c r="AX19" s="177"/>
      <c r="AY19" s="177"/>
      <c r="AZ19" s="177"/>
      <c r="BA19" s="177"/>
      <c r="BB19" s="177"/>
      <c r="BC19" s="177"/>
      <c r="BD19" s="177"/>
      <c r="BE19" s="177"/>
      <c r="BF19" s="177"/>
    </row>
    <row r="20" spans="1:58" ht="18" customHeight="1">
      <c r="A20" s="181"/>
      <c r="B20" s="185"/>
      <c r="C20" s="186"/>
      <c r="D20" s="186"/>
      <c r="E20" s="186"/>
      <c r="F20" s="186"/>
      <c r="G20" s="186"/>
      <c r="H20" s="186"/>
      <c r="I20" s="186"/>
      <c r="J20" s="186"/>
      <c r="K20" s="181"/>
      <c r="L20" s="185"/>
      <c r="M20" s="186"/>
      <c r="N20" s="186"/>
      <c r="O20" s="186"/>
      <c r="P20" s="186"/>
      <c r="Q20" s="186"/>
      <c r="R20" s="186"/>
      <c r="S20" s="186"/>
      <c r="T20" s="205"/>
      <c r="U20" s="186"/>
      <c r="V20" s="187"/>
      <c r="W20" s="173"/>
      <c r="Y20" s="177"/>
      <c r="Z20" s="177"/>
      <c r="AA20" s="177"/>
      <c r="AB20" s="177"/>
      <c r="AC20" s="177"/>
      <c r="AD20" s="177"/>
      <c r="AE20" s="177"/>
      <c r="AF20" s="177"/>
      <c r="AG20" s="177"/>
      <c r="AH20" s="177"/>
      <c r="AI20" s="177"/>
      <c r="AJ20" s="177"/>
      <c r="AK20" s="177"/>
      <c r="AL20" s="177"/>
      <c r="AM20" s="177"/>
      <c r="AN20" s="177"/>
      <c r="AO20" s="177"/>
      <c r="AP20" s="177"/>
      <c r="AQ20" s="177"/>
      <c r="AR20" s="177"/>
      <c r="AS20" s="177"/>
      <c r="AT20" s="177"/>
      <c r="AU20" s="177"/>
      <c r="AV20" s="177"/>
      <c r="AW20" s="177"/>
      <c r="AX20" s="177"/>
      <c r="AY20" s="177"/>
      <c r="AZ20" s="177"/>
      <c r="BA20" s="177"/>
      <c r="BB20" s="177"/>
      <c r="BC20" s="177"/>
      <c r="BD20" s="177"/>
      <c r="BE20" s="177"/>
      <c r="BF20" s="177"/>
    </row>
    <row r="21" spans="1:58" ht="18" customHeight="1">
      <c r="A21" s="181"/>
      <c r="B21" s="185"/>
      <c r="C21" s="186"/>
      <c r="D21" s="186"/>
      <c r="E21" s="186"/>
      <c r="F21" s="186"/>
      <c r="G21" s="186"/>
      <c r="H21" s="186"/>
      <c r="I21" s="186"/>
      <c r="J21" s="186"/>
      <c r="K21" s="181"/>
      <c r="L21" s="185"/>
      <c r="M21" s="186"/>
      <c r="N21" s="186"/>
      <c r="O21" s="186"/>
      <c r="P21" s="186"/>
      <c r="Q21" s="186"/>
      <c r="R21" s="186"/>
      <c r="S21" s="186"/>
      <c r="T21" s="205"/>
      <c r="U21" s="186"/>
      <c r="V21" s="187"/>
      <c r="W21" s="173"/>
      <c r="Y21" s="177"/>
      <c r="Z21" s="177"/>
      <c r="AA21" s="177"/>
      <c r="AB21" s="177"/>
      <c r="AC21" s="177"/>
      <c r="AD21" s="177"/>
      <c r="AE21" s="177"/>
      <c r="AF21" s="177"/>
      <c r="AG21" s="177"/>
      <c r="AH21" s="177"/>
      <c r="AI21" s="177"/>
      <c r="AJ21" s="177"/>
      <c r="AK21" s="177"/>
      <c r="AL21" s="177"/>
      <c r="AM21" s="177"/>
      <c r="AN21" s="177"/>
      <c r="AO21" s="177"/>
      <c r="AP21" s="177"/>
      <c r="AQ21" s="177"/>
      <c r="AR21" s="177"/>
      <c r="AS21" s="177"/>
      <c r="AT21" s="177"/>
      <c r="AU21" s="177"/>
      <c r="AV21" s="177"/>
      <c r="AW21" s="177"/>
      <c r="AX21" s="177"/>
      <c r="AY21" s="177"/>
      <c r="AZ21" s="177"/>
      <c r="BA21" s="177"/>
      <c r="BB21" s="177"/>
      <c r="BC21" s="177"/>
      <c r="BD21" s="177"/>
      <c r="BE21" s="177"/>
      <c r="BF21" s="177"/>
    </row>
    <row r="22" spans="1:58" ht="18" customHeight="1">
      <c r="A22" s="181"/>
      <c r="B22" s="185"/>
      <c r="C22" s="186"/>
      <c r="D22" s="186"/>
      <c r="E22" s="186"/>
      <c r="F22" s="186"/>
      <c r="G22" s="186"/>
      <c r="H22" s="186"/>
      <c r="I22" s="186"/>
      <c r="J22" s="186"/>
      <c r="K22" s="181"/>
      <c r="L22" s="185"/>
      <c r="M22" s="186"/>
      <c r="N22" s="186"/>
      <c r="O22" s="186"/>
      <c r="P22" s="186"/>
      <c r="Q22" s="186"/>
      <c r="R22" s="186"/>
      <c r="S22" s="186"/>
      <c r="T22" s="205"/>
      <c r="U22" s="186"/>
      <c r="V22" s="187"/>
      <c r="W22" s="173"/>
      <c r="Y22" s="177"/>
      <c r="Z22" s="177"/>
      <c r="AA22" s="177"/>
      <c r="AB22" s="177"/>
      <c r="AC22" s="177"/>
      <c r="AD22" s="177"/>
      <c r="AE22" s="177"/>
      <c r="AF22" s="177"/>
      <c r="AG22" s="177"/>
      <c r="AH22" s="177"/>
      <c r="AI22" s="177"/>
      <c r="AJ22" s="177"/>
      <c r="AK22" s="177"/>
      <c r="AL22" s="177"/>
      <c r="AM22" s="177"/>
      <c r="AN22" s="177"/>
      <c r="AO22" s="177"/>
      <c r="AP22" s="177"/>
      <c r="AQ22" s="177"/>
      <c r="AR22" s="177"/>
      <c r="AS22" s="177"/>
      <c r="AT22" s="177"/>
      <c r="AU22" s="177"/>
      <c r="AV22" s="177"/>
      <c r="AW22" s="177"/>
      <c r="AX22" s="177"/>
      <c r="AY22" s="177"/>
      <c r="AZ22" s="177"/>
      <c r="BA22" s="177"/>
      <c r="BB22" s="177"/>
      <c r="BC22" s="177"/>
      <c r="BD22" s="177"/>
      <c r="BE22" s="177"/>
      <c r="BF22" s="177"/>
    </row>
    <row r="23" spans="1:58" ht="18" customHeight="1">
      <c r="A23" s="181"/>
      <c r="B23" s="185"/>
      <c r="C23" s="186"/>
      <c r="D23" s="186"/>
      <c r="E23" s="186"/>
      <c r="F23" s="186"/>
      <c r="G23" s="186"/>
      <c r="H23" s="186"/>
      <c r="I23" s="186"/>
      <c r="J23" s="186"/>
      <c r="K23" s="181"/>
      <c r="L23" s="185"/>
      <c r="M23" s="186"/>
      <c r="N23" s="186"/>
      <c r="O23" s="186"/>
      <c r="P23" s="186"/>
      <c r="Q23" s="186"/>
      <c r="R23" s="186"/>
      <c r="S23" s="186"/>
      <c r="T23" s="205"/>
      <c r="U23" s="186"/>
      <c r="V23" s="187"/>
      <c r="W23" s="173"/>
    </row>
    <row r="24" spans="1:58" ht="18" customHeight="1">
      <c r="A24" s="181"/>
      <c r="B24" s="185"/>
      <c r="C24" s="186"/>
      <c r="D24" s="186"/>
      <c r="E24" s="186"/>
      <c r="F24" s="186"/>
      <c r="G24" s="186"/>
      <c r="H24" s="186"/>
      <c r="I24" s="186"/>
      <c r="J24" s="186"/>
      <c r="K24" s="181"/>
      <c r="L24" s="185"/>
      <c r="M24" s="186"/>
      <c r="N24" s="186"/>
      <c r="O24" s="186"/>
      <c r="P24" s="186"/>
      <c r="Q24" s="186"/>
      <c r="R24" s="186"/>
      <c r="S24" s="186"/>
      <c r="T24" s="205"/>
      <c r="U24" s="186"/>
      <c r="V24" s="187"/>
      <c r="W24" s="173"/>
    </row>
    <row r="25" spans="1:58" ht="18" customHeight="1">
      <c r="A25" s="181"/>
      <c r="B25" s="185"/>
      <c r="C25" s="186"/>
      <c r="D25" s="186"/>
      <c r="E25" s="186"/>
      <c r="F25" s="186"/>
      <c r="G25" s="186"/>
      <c r="H25" s="186"/>
      <c r="I25" s="186"/>
      <c r="J25" s="186"/>
      <c r="K25" s="181"/>
      <c r="L25" s="185"/>
      <c r="M25" s="186"/>
      <c r="N25" s="186"/>
      <c r="O25" s="186"/>
      <c r="P25" s="186"/>
      <c r="Q25" s="186"/>
      <c r="R25" s="186"/>
      <c r="S25" s="186"/>
      <c r="T25" s="205"/>
      <c r="U25" s="186"/>
      <c r="V25" s="187"/>
      <c r="W25" s="173"/>
    </row>
    <row r="26" spans="1:58" ht="18" customHeight="1">
      <c r="A26" s="181"/>
      <c r="B26" s="185"/>
      <c r="C26" s="186"/>
      <c r="D26" s="186"/>
      <c r="E26" s="186"/>
      <c r="F26" s="186"/>
      <c r="G26" s="186"/>
      <c r="H26" s="186"/>
      <c r="I26" s="186"/>
      <c r="J26" s="186"/>
      <c r="K26" s="181"/>
      <c r="L26" s="185"/>
      <c r="M26" s="186"/>
      <c r="N26" s="186"/>
      <c r="O26" s="186"/>
      <c r="P26" s="186"/>
      <c r="Q26" s="186"/>
      <c r="R26" s="186"/>
      <c r="S26" s="186"/>
      <c r="T26" s="205"/>
      <c r="U26" s="186"/>
      <c r="V26" s="187"/>
      <c r="W26" s="173"/>
    </row>
    <row r="27" spans="1:58" ht="18" customHeight="1">
      <c r="A27" s="181"/>
      <c r="B27" s="185"/>
      <c r="C27" s="186"/>
      <c r="D27" s="186"/>
      <c r="E27" s="186"/>
      <c r="F27" s="186"/>
      <c r="G27" s="186"/>
      <c r="H27" s="186"/>
      <c r="I27" s="186"/>
      <c r="J27" s="186"/>
      <c r="K27" s="181"/>
      <c r="L27" s="185"/>
      <c r="M27" s="186"/>
      <c r="N27" s="186"/>
      <c r="O27" s="186"/>
      <c r="P27" s="186"/>
      <c r="Q27" s="186"/>
      <c r="R27" s="186"/>
      <c r="S27" s="186"/>
      <c r="T27" s="205"/>
      <c r="U27" s="186"/>
      <c r="V27" s="187"/>
      <c r="W27" s="173"/>
    </row>
    <row r="28" spans="1:58" ht="18" customHeight="1">
      <c r="A28" s="181"/>
      <c r="B28" s="185"/>
      <c r="C28" s="186"/>
      <c r="D28" s="186"/>
      <c r="E28" s="186"/>
      <c r="F28" s="186"/>
      <c r="G28" s="186"/>
      <c r="H28" s="186"/>
      <c r="I28" s="186"/>
      <c r="J28" s="186"/>
      <c r="K28" s="181"/>
      <c r="L28" s="185"/>
      <c r="M28" s="186"/>
      <c r="N28" s="186"/>
      <c r="O28" s="186"/>
      <c r="P28" s="186"/>
      <c r="Q28" s="186"/>
      <c r="R28" s="186"/>
      <c r="S28" s="186"/>
      <c r="T28" s="205"/>
      <c r="U28" s="186"/>
      <c r="V28" s="187"/>
      <c r="W28" s="173"/>
    </row>
    <row r="29" spans="1:58" ht="18" customHeight="1">
      <c r="A29" s="181"/>
      <c r="B29" s="185"/>
      <c r="C29" s="186"/>
      <c r="D29" s="186"/>
      <c r="E29" s="186"/>
      <c r="F29" s="186"/>
      <c r="G29" s="186"/>
      <c r="H29" s="186"/>
      <c r="I29" s="186"/>
      <c r="J29" s="186"/>
      <c r="K29" s="181"/>
      <c r="L29" s="185"/>
      <c r="M29" s="186"/>
      <c r="N29" s="186"/>
      <c r="O29" s="186"/>
      <c r="P29" s="186"/>
      <c r="Q29" s="186"/>
      <c r="R29" s="186"/>
      <c r="S29" s="186"/>
      <c r="T29" s="205"/>
      <c r="U29" s="186"/>
      <c r="V29" s="187"/>
      <c r="W29" s="173"/>
    </row>
    <row r="30" spans="1:58" ht="18" customHeight="1">
      <c r="A30" s="181"/>
      <c r="B30" s="185"/>
      <c r="C30" s="186"/>
      <c r="D30" s="186"/>
      <c r="E30" s="186"/>
      <c r="F30" s="186"/>
      <c r="G30" s="186"/>
      <c r="H30" s="186"/>
      <c r="I30" s="186"/>
      <c r="J30" s="186"/>
      <c r="K30" s="181"/>
      <c r="L30" s="185"/>
      <c r="M30" s="186"/>
      <c r="N30" s="186"/>
      <c r="O30" s="186"/>
      <c r="P30" s="186"/>
      <c r="Q30" s="186"/>
      <c r="R30" s="186"/>
      <c r="S30" s="186"/>
      <c r="T30" s="205"/>
      <c r="U30" s="186"/>
      <c r="V30" s="187"/>
      <c r="W30" s="173"/>
    </row>
    <row r="31" spans="1:58" ht="18" customHeight="1">
      <c r="A31" s="181"/>
      <c r="B31" s="188"/>
      <c r="C31" s="189"/>
      <c r="D31" s="189"/>
      <c r="E31" s="189"/>
      <c r="F31" s="189"/>
      <c r="G31" s="189"/>
      <c r="H31" s="189"/>
      <c r="I31" s="189"/>
      <c r="J31" s="189"/>
      <c r="K31" s="181"/>
      <c r="L31" s="188"/>
      <c r="M31" s="189"/>
      <c r="N31" s="189"/>
      <c r="O31" s="189"/>
      <c r="P31" s="189"/>
      <c r="Q31" s="189"/>
      <c r="R31" s="189"/>
      <c r="S31" s="189"/>
      <c r="T31" s="208"/>
      <c r="U31" s="189"/>
      <c r="V31" s="190"/>
      <c r="W31" s="173"/>
    </row>
    <row r="32" spans="1:58" ht="18" customHeight="1">
      <c r="A32" s="181"/>
      <c r="B32" s="181"/>
      <c r="C32" s="181"/>
      <c r="D32" s="181"/>
      <c r="E32" s="181"/>
      <c r="F32" s="181"/>
      <c r="G32" s="181"/>
      <c r="H32" s="181"/>
      <c r="I32" s="181"/>
      <c r="J32" s="181"/>
      <c r="K32" s="181"/>
      <c r="L32" s="181"/>
      <c r="M32" s="181"/>
      <c r="N32" s="181"/>
      <c r="O32" s="181"/>
      <c r="P32" s="181"/>
      <c r="Q32" s="181"/>
      <c r="R32" s="181"/>
      <c r="S32" s="181"/>
      <c r="T32" s="181"/>
      <c r="U32" s="181"/>
      <c r="V32" s="181"/>
      <c r="W32" s="173"/>
    </row>
    <row r="33" spans="1:23" ht="20" customHeight="1">
      <c r="A33" s="181" t="s">
        <v>11</v>
      </c>
      <c r="B33" s="200" t="s">
        <v>652</v>
      </c>
      <c r="C33" s="198"/>
      <c r="D33" s="198"/>
      <c r="E33" s="198"/>
      <c r="F33" s="198"/>
      <c r="G33" s="198"/>
      <c r="H33" s="198"/>
      <c r="I33" s="198"/>
      <c r="J33" s="198"/>
      <c r="K33" s="181"/>
      <c r="L33" s="201" t="s">
        <v>653</v>
      </c>
      <c r="M33" s="202"/>
      <c r="N33" s="202"/>
      <c r="O33" s="202"/>
      <c r="P33" s="202"/>
      <c r="Q33" s="202"/>
      <c r="R33" s="202"/>
      <c r="S33" s="202"/>
      <c r="T33" s="209"/>
      <c r="U33" s="202"/>
      <c r="V33" s="203"/>
      <c r="W33" s="173"/>
    </row>
    <row r="34" spans="1:23" ht="18" customHeight="1">
      <c r="A34" s="181"/>
      <c r="B34" s="182"/>
      <c r="C34" s="183"/>
      <c r="D34" s="183"/>
      <c r="E34" s="183"/>
      <c r="F34" s="183"/>
      <c r="G34" s="183"/>
      <c r="H34" s="183"/>
      <c r="I34" s="183"/>
      <c r="J34" s="183"/>
      <c r="K34" s="181"/>
      <c r="L34" s="182"/>
      <c r="M34" s="183"/>
      <c r="N34" s="183"/>
      <c r="O34" s="183"/>
      <c r="P34" s="183"/>
      <c r="Q34" s="183"/>
      <c r="R34" s="183"/>
      <c r="S34" s="183"/>
      <c r="T34" s="207"/>
      <c r="U34" s="183"/>
      <c r="V34" s="184"/>
      <c r="W34" s="173"/>
    </row>
    <row r="35" spans="1:23" ht="18" customHeight="1">
      <c r="A35" s="181"/>
      <c r="B35" s="185"/>
      <c r="C35" s="186"/>
      <c r="D35" s="186"/>
      <c r="E35" s="186"/>
      <c r="F35" s="186"/>
      <c r="G35" s="186"/>
      <c r="H35" s="186"/>
      <c r="I35" s="186"/>
      <c r="J35" s="186"/>
      <c r="K35" s="181"/>
      <c r="L35" s="185"/>
      <c r="M35" s="186"/>
      <c r="N35" s="186"/>
      <c r="O35" s="186"/>
      <c r="P35" s="186"/>
      <c r="Q35" s="186"/>
      <c r="R35" s="186"/>
      <c r="S35" s="186"/>
      <c r="T35" s="205"/>
      <c r="U35" s="186"/>
      <c r="V35" s="187"/>
      <c r="W35" s="173"/>
    </row>
    <row r="36" spans="1:23" ht="18" customHeight="1">
      <c r="A36" s="181"/>
      <c r="B36" s="185"/>
      <c r="C36" s="186"/>
      <c r="D36" s="186"/>
      <c r="E36" s="186"/>
      <c r="F36" s="186"/>
      <c r="G36" s="186"/>
      <c r="H36" s="186"/>
      <c r="I36" s="186"/>
      <c r="J36" s="186"/>
      <c r="K36" s="181"/>
      <c r="L36" s="185"/>
      <c r="M36" s="186"/>
      <c r="N36" s="186"/>
      <c r="O36" s="186"/>
      <c r="P36" s="186"/>
      <c r="Q36" s="186"/>
      <c r="R36" s="186"/>
      <c r="S36" s="186"/>
      <c r="T36" s="205"/>
      <c r="U36" s="186"/>
      <c r="V36" s="187"/>
      <c r="W36" s="173"/>
    </row>
    <row r="37" spans="1:23" ht="18" customHeight="1">
      <c r="A37" s="181"/>
      <c r="B37" s="185"/>
      <c r="C37" s="186"/>
      <c r="D37" s="186"/>
      <c r="E37" s="186"/>
      <c r="F37" s="186"/>
      <c r="G37" s="186"/>
      <c r="H37" s="186"/>
      <c r="I37" s="186"/>
      <c r="J37" s="186"/>
      <c r="K37" s="181"/>
      <c r="L37" s="185"/>
      <c r="M37" s="186"/>
      <c r="N37" s="186"/>
      <c r="O37" s="186"/>
      <c r="P37" s="186"/>
      <c r="Q37" s="186"/>
      <c r="R37" s="186"/>
      <c r="S37" s="186"/>
      <c r="T37" s="205"/>
      <c r="U37" s="186"/>
      <c r="V37" s="187"/>
      <c r="W37" s="173"/>
    </row>
    <row r="38" spans="1:23" ht="18" customHeight="1">
      <c r="A38" s="181"/>
      <c r="B38" s="185"/>
      <c r="C38" s="186"/>
      <c r="D38" s="186"/>
      <c r="E38" s="186"/>
      <c r="F38" s="186"/>
      <c r="G38" s="186"/>
      <c r="H38" s="186"/>
      <c r="I38" s="186"/>
      <c r="J38" s="186"/>
      <c r="K38" s="181"/>
      <c r="L38" s="185"/>
      <c r="M38" s="186"/>
      <c r="N38" s="186"/>
      <c r="O38" s="186"/>
      <c r="P38" s="186"/>
      <c r="Q38" s="186"/>
      <c r="R38" s="186"/>
      <c r="S38" s="186"/>
      <c r="T38" s="205"/>
      <c r="U38" s="186"/>
      <c r="V38" s="187"/>
      <c r="W38" s="173"/>
    </row>
    <row r="39" spans="1:23" ht="18" customHeight="1">
      <c r="A39" s="181"/>
      <c r="B39" s="185"/>
      <c r="C39" s="186"/>
      <c r="D39" s="186"/>
      <c r="E39" s="186"/>
      <c r="F39" s="186"/>
      <c r="G39" s="186"/>
      <c r="H39" s="186"/>
      <c r="I39" s="186"/>
      <c r="J39" s="186"/>
      <c r="K39" s="181"/>
      <c r="L39" s="185"/>
      <c r="M39" s="186"/>
      <c r="N39" s="186"/>
      <c r="O39" s="186"/>
      <c r="P39" s="186"/>
      <c r="Q39" s="186"/>
      <c r="R39" s="186"/>
      <c r="S39" s="186"/>
      <c r="T39" s="205"/>
      <c r="U39" s="186"/>
      <c r="V39" s="187"/>
      <c r="W39" s="173"/>
    </row>
    <row r="40" spans="1:23" ht="18" customHeight="1">
      <c r="A40" s="181"/>
      <c r="B40" s="185"/>
      <c r="C40" s="186"/>
      <c r="D40" s="186"/>
      <c r="E40" s="186"/>
      <c r="F40" s="186"/>
      <c r="G40" s="186"/>
      <c r="H40" s="186"/>
      <c r="I40" s="186"/>
      <c r="J40" s="186"/>
      <c r="K40" s="181"/>
      <c r="L40" s="185"/>
      <c r="M40" s="186"/>
      <c r="N40" s="186"/>
      <c r="O40" s="186"/>
      <c r="P40" s="186"/>
      <c r="Q40" s="186"/>
      <c r="R40" s="186"/>
      <c r="S40" s="186"/>
      <c r="T40" s="205"/>
      <c r="U40" s="186"/>
      <c r="V40" s="187"/>
      <c r="W40" s="173"/>
    </row>
    <row r="41" spans="1:23" ht="18" customHeight="1">
      <c r="A41" s="181"/>
      <c r="B41" s="185"/>
      <c r="C41" s="186"/>
      <c r="D41" s="186"/>
      <c r="E41" s="186"/>
      <c r="F41" s="186"/>
      <c r="G41" s="186"/>
      <c r="H41" s="186"/>
      <c r="I41" s="186"/>
      <c r="J41" s="186"/>
      <c r="K41" s="181"/>
      <c r="L41" s="185"/>
      <c r="M41" s="186"/>
      <c r="N41" s="186"/>
      <c r="O41" s="186"/>
      <c r="P41" s="186"/>
      <c r="Q41" s="186"/>
      <c r="R41" s="186"/>
      <c r="S41" s="186"/>
      <c r="T41" s="205"/>
      <c r="U41" s="186"/>
      <c r="V41" s="187"/>
      <c r="W41" s="173"/>
    </row>
    <row r="42" spans="1:23" ht="18" customHeight="1">
      <c r="A42" s="181"/>
      <c r="B42" s="185"/>
      <c r="C42" s="186"/>
      <c r="D42" s="186"/>
      <c r="E42" s="186"/>
      <c r="F42" s="186"/>
      <c r="G42" s="186"/>
      <c r="H42" s="186"/>
      <c r="I42" s="186"/>
      <c r="J42" s="186"/>
      <c r="K42" s="181"/>
      <c r="L42" s="185"/>
      <c r="M42" s="186"/>
      <c r="N42" s="186"/>
      <c r="O42" s="186"/>
      <c r="P42" s="186"/>
      <c r="Q42" s="186"/>
      <c r="R42" s="186"/>
      <c r="S42" s="186"/>
      <c r="T42" s="205"/>
      <c r="U42" s="186"/>
      <c r="V42" s="187"/>
      <c r="W42" s="173"/>
    </row>
    <row r="43" spans="1:23" ht="18" customHeight="1">
      <c r="A43" s="181"/>
      <c r="B43" s="185"/>
      <c r="C43" s="186"/>
      <c r="D43" s="186"/>
      <c r="E43" s="186"/>
      <c r="F43" s="186"/>
      <c r="G43" s="186"/>
      <c r="H43" s="186"/>
      <c r="I43" s="186"/>
      <c r="J43" s="186"/>
      <c r="K43" s="181"/>
      <c r="L43" s="185"/>
      <c r="M43" s="186"/>
      <c r="N43" s="186"/>
      <c r="O43" s="186"/>
      <c r="P43" s="186"/>
      <c r="Q43" s="186"/>
      <c r="R43" s="186"/>
      <c r="S43" s="186"/>
      <c r="T43" s="205"/>
      <c r="U43" s="186"/>
      <c r="V43" s="187"/>
      <c r="W43" s="173"/>
    </row>
    <row r="44" spans="1:23" ht="18" customHeight="1">
      <c r="A44" s="181"/>
      <c r="B44" s="185"/>
      <c r="C44" s="186"/>
      <c r="D44" s="186"/>
      <c r="E44" s="186"/>
      <c r="F44" s="186"/>
      <c r="G44" s="186"/>
      <c r="H44" s="186"/>
      <c r="I44" s="186"/>
      <c r="J44" s="186"/>
      <c r="K44" s="181"/>
      <c r="L44" s="185"/>
      <c r="M44" s="186"/>
      <c r="N44" s="186"/>
      <c r="O44" s="186"/>
      <c r="P44" s="186"/>
      <c r="Q44" s="186"/>
      <c r="R44" s="186"/>
      <c r="S44" s="186"/>
      <c r="T44" s="205"/>
      <c r="U44" s="186"/>
      <c r="V44" s="187"/>
      <c r="W44" s="173"/>
    </row>
    <row r="45" spans="1:23" ht="18" customHeight="1">
      <c r="A45" s="181"/>
      <c r="B45" s="185"/>
      <c r="C45" s="186"/>
      <c r="D45" s="186"/>
      <c r="E45" s="186"/>
      <c r="F45" s="186"/>
      <c r="G45" s="186"/>
      <c r="H45" s="186"/>
      <c r="I45" s="186"/>
      <c r="J45" s="186"/>
      <c r="K45" s="181"/>
      <c r="L45" s="185"/>
      <c r="M45" s="186"/>
      <c r="N45" s="186"/>
      <c r="O45" s="186"/>
      <c r="P45" s="186"/>
      <c r="Q45" s="186"/>
      <c r="R45" s="186"/>
      <c r="S45" s="186"/>
      <c r="T45" s="205"/>
      <c r="U45" s="186"/>
      <c r="V45" s="187"/>
      <c r="W45" s="173"/>
    </row>
    <row r="46" spans="1:23" ht="18" customHeight="1">
      <c r="A46" s="181"/>
      <c r="B46" s="185"/>
      <c r="C46" s="186"/>
      <c r="D46" s="186"/>
      <c r="E46" s="186"/>
      <c r="F46" s="186"/>
      <c r="G46" s="186"/>
      <c r="H46" s="186"/>
      <c r="I46" s="186"/>
      <c r="J46" s="186"/>
      <c r="K46" s="181"/>
      <c r="L46" s="185"/>
      <c r="M46" s="186"/>
      <c r="N46" s="186"/>
      <c r="O46" s="186"/>
      <c r="P46" s="186"/>
      <c r="Q46" s="186"/>
      <c r="R46" s="186"/>
      <c r="S46" s="186"/>
      <c r="T46" s="205"/>
      <c r="U46" s="186"/>
      <c r="V46" s="187"/>
      <c r="W46" s="173"/>
    </row>
    <row r="47" spans="1:23" ht="18" customHeight="1">
      <c r="A47" s="181"/>
      <c r="B47" s="185"/>
      <c r="C47" s="186"/>
      <c r="D47" s="186"/>
      <c r="E47" s="186"/>
      <c r="F47" s="186"/>
      <c r="G47" s="186"/>
      <c r="H47" s="186"/>
      <c r="I47" s="186"/>
      <c r="J47" s="186"/>
      <c r="K47" s="181"/>
      <c r="L47" s="185"/>
      <c r="M47" s="186"/>
      <c r="N47" s="186"/>
      <c r="O47" s="186"/>
      <c r="P47" s="186"/>
      <c r="Q47" s="186"/>
      <c r="R47" s="186"/>
      <c r="S47" s="186"/>
      <c r="T47" s="205"/>
      <c r="U47" s="186"/>
      <c r="V47" s="187"/>
      <c r="W47" s="173"/>
    </row>
    <row r="48" spans="1:23" ht="18" customHeight="1">
      <c r="A48" s="181"/>
      <c r="B48" s="185"/>
      <c r="C48" s="186"/>
      <c r="D48" s="186"/>
      <c r="E48" s="186"/>
      <c r="F48" s="186"/>
      <c r="G48" s="186"/>
      <c r="H48" s="186"/>
      <c r="I48" s="186"/>
      <c r="J48" s="186"/>
      <c r="K48" s="181"/>
      <c r="L48" s="185"/>
      <c r="M48" s="186"/>
      <c r="N48" s="186"/>
      <c r="O48" s="186"/>
      <c r="P48" s="186"/>
      <c r="Q48" s="186"/>
      <c r="R48" s="186"/>
      <c r="S48" s="186"/>
      <c r="T48" s="205"/>
      <c r="U48" s="186"/>
      <c r="V48" s="187"/>
      <c r="W48" s="173"/>
    </row>
    <row r="49" spans="1:23" ht="18" customHeight="1">
      <c r="A49" s="181"/>
      <c r="B49" s="185"/>
      <c r="C49" s="186"/>
      <c r="D49" s="186"/>
      <c r="E49" s="186"/>
      <c r="F49" s="186"/>
      <c r="G49" s="186"/>
      <c r="H49" s="186"/>
      <c r="I49" s="186"/>
      <c r="J49" s="186"/>
      <c r="K49" s="181"/>
      <c r="L49" s="185"/>
      <c r="M49" s="186"/>
      <c r="N49" s="186"/>
      <c r="O49" s="186"/>
      <c r="P49" s="186"/>
      <c r="Q49" s="186"/>
      <c r="R49" s="186"/>
      <c r="S49" s="186"/>
      <c r="T49" s="205"/>
      <c r="U49" s="186"/>
      <c r="V49" s="187"/>
      <c r="W49" s="173"/>
    </row>
    <row r="50" spans="1:23" ht="18" customHeight="1">
      <c r="A50" s="181"/>
      <c r="B50" s="188"/>
      <c r="C50" s="189"/>
      <c r="D50" s="189"/>
      <c r="E50" s="189"/>
      <c r="F50" s="189"/>
      <c r="G50" s="189"/>
      <c r="H50" s="189"/>
      <c r="I50" s="189"/>
      <c r="J50" s="189"/>
      <c r="K50" s="181"/>
      <c r="L50" s="188"/>
      <c r="M50" s="189"/>
      <c r="N50" s="189"/>
      <c r="O50" s="189"/>
      <c r="P50" s="189"/>
      <c r="Q50" s="189"/>
      <c r="R50" s="189"/>
      <c r="S50" s="189"/>
      <c r="T50" s="208"/>
      <c r="U50" s="189"/>
      <c r="V50" s="190"/>
      <c r="W50" s="173"/>
    </row>
    <row r="51" spans="1:23" ht="18" customHeight="1">
      <c r="A51" s="181"/>
      <c r="B51" s="181"/>
      <c r="C51" s="181"/>
      <c r="D51" s="181"/>
      <c r="E51" s="181"/>
      <c r="F51" s="181"/>
      <c r="G51" s="181"/>
      <c r="H51" s="181"/>
      <c r="I51" s="181"/>
      <c r="J51" s="181"/>
      <c r="K51" s="181"/>
      <c r="L51" s="181"/>
      <c r="M51" s="181"/>
      <c r="N51" s="181"/>
      <c r="O51" s="181"/>
      <c r="P51" s="181"/>
      <c r="Q51" s="181"/>
      <c r="R51" s="181"/>
      <c r="S51" s="181"/>
      <c r="T51" s="181"/>
      <c r="U51" s="181"/>
      <c r="V51" s="181"/>
      <c r="W51" s="173"/>
    </row>
    <row r="52" spans="1:23" ht="20" customHeight="1">
      <c r="A52" s="181" t="s">
        <v>11</v>
      </c>
      <c r="B52" s="263" t="s">
        <v>654</v>
      </c>
      <c r="C52" s="264"/>
      <c r="D52" s="264"/>
      <c r="E52" s="264"/>
      <c r="F52" s="264"/>
      <c r="G52" s="264"/>
      <c r="H52" s="265"/>
      <c r="I52" s="181"/>
      <c r="J52" s="266" t="s">
        <v>655</v>
      </c>
      <c r="K52" s="267"/>
      <c r="L52" s="267"/>
      <c r="M52" s="267"/>
      <c r="N52" s="267"/>
      <c r="O52" s="267"/>
      <c r="P52" s="267"/>
      <c r="Q52" s="267"/>
      <c r="R52" s="267"/>
      <c r="S52" s="267"/>
      <c r="T52" s="267"/>
      <c r="U52" s="267"/>
      <c r="V52" s="268"/>
      <c r="W52" s="173"/>
    </row>
    <row r="53" spans="1:23" ht="18" customHeight="1">
      <c r="A53" s="181"/>
      <c r="B53" s="182"/>
      <c r="C53" s="183"/>
      <c r="D53" s="183"/>
      <c r="E53" s="183"/>
      <c r="F53" s="183"/>
      <c r="G53" s="183"/>
      <c r="H53" s="184"/>
      <c r="I53" s="181"/>
      <c r="J53" s="191"/>
      <c r="K53" s="192"/>
      <c r="L53" s="192"/>
      <c r="M53" s="192"/>
      <c r="N53" s="192"/>
      <c r="O53" s="192"/>
      <c r="P53" s="192"/>
      <c r="Q53" s="192"/>
      <c r="R53" s="192"/>
      <c r="S53" s="192"/>
      <c r="T53" s="192"/>
      <c r="U53" s="192"/>
      <c r="V53" s="207"/>
      <c r="W53" s="173"/>
    </row>
    <row r="54" spans="1:23" ht="18" customHeight="1">
      <c r="A54" s="181"/>
      <c r="B54" s="269" t="s">
        <v>656</v>
      </c>
      <c r="C54" s="270"/>
      <c r="D54" s="270"/>
      <c r="E54" s="270" t="s">
        <v>657</v>
      </c>
      <c r="F54" s="270"/>
      <c r="G54" s="270"/>
      <c r="H54" s="271"/>
      <c r="I54" s="181"/>
      <c r="J54" s="193" t="s">
        <v>638</v>
      </c>
      <c r="K54" s="194"/>
      <c r="L54" s="210" t="s">
        <v>465</v>
      </c>
      <c r="M54" s="194"/>
      <c r="N54" s="172"/>
      <c r="O54" s="172"/>
      <c r="P54" s="172"/>
      <c r="Q54" s="172"/>
      <c r="R54" s="172"/>
      <c r="S54" s="194"/>
      <c r="T54" s="194"/>
      <c r="U54" s="194"/>
      <c r="V54" s="205"/>
      <c r="W54" s="173"/>
    </row>
    <row r="55" spans="1:23" ht="18" customHeight="1">
      <c r="A55" s="181"/>
      <c r="B55" s="185"/>
      <c r="C55" s="186"/>
      <c r="D55" s="186"/>
      <c r="E55" s="186"/>
      <c r="F55" s="186"/>
      <c r="G55" s="186"/>
      <c r="H55" s="187"/>
      <c r="I55" s="181"/>
      <c r="J55" s="245" t="str">
        <f>$AW$7</f>
        <v>Oil &amp; Gas upstream corporate facility</v>
      </c>
      <c r="K55" s="246"/>
      <c r="L55" s="246"/>
      <c r="M55" s="246"/>
      <c r="N55" s="246"/>
      <c r="O55" s="246"/>
      <c r="P55" s="246"/>
      <c r="Q55" s="246"/>
      <c r="R55" s="246"/>
      <c r="S55" s="246"/>
      <c r="T55" s="246"/>
      <c r="U55" s="194"/>
      <c r="V55" s="205"/>
      <c r="W55" s="173"/>
    </row>
    <row r="56" spans="1:23" ht="18" customHeight="1">
      <c r="A56" s="181"/>
      <c r="B56" s="174" t="s">
        <v>647</v>
      </c>
      <c r="C56" s="175">
        <f>'04_Portfolio_KPIs'!$C$9</f>
        <v>0.47506191812033316</v>
      </c>
      <c r="D56" s="195" t="str">
        <f>REPT("█",ROUND(C56*18,0))</f>
        <v>█████████</v>
      </c>
      <c r="E56" s="176" t="s">
        <v>453</v>
      </c>
      <c r="F56" s="175">
        <f>'04_Portfolio_KPIs'!$C$16</f>
        <v>0.28400000000000003</v>
      </c>
      <c r="G56" s="272" t="str">
        <f>REPT("█",ROUND(F56*18,0))</f>
        <v>█████</v>
      </c>
      <c r="H56" s="273"/>
      <c r="I56" s="181"/>
      <c r="J56" s="247" t="str">
        <f>$AX$7&amp;" | "&amp;$BD$7</f>
        <v>Oil &amp; Gas | Enhanced due diligence / portfolio committee review</v>
      </c>
      <c r="K56" s="248"/>
      <c r="L56" s="248"/>
      <c r="M56" s="248"/>
      <c r="N56" s="248"/>
      <c r="O56" s="248"/>
      <c r="P56" s="248"/>
      <c r="Q56" s="248"/>
      <c r="R56" s="248"/>
      <c r="S56" s="248"/>
      <c r="T56" s="248"/>
      <c r="U56" s="194"/>
      <c r="V56" s="205"/>
      <c r="W56" s="173"/>
    </row>
    <row r="57" spans="1:23" ht="18" customHeight="1">
      <c r="A57" s="181"/>
      <c r="B57" s="174" t="s">
        <v>648</v>
      </c>
      <c r="C57" s="175">
        <f>'04_Portfolio_KPIs'!$C$10</f>
        <v>7.2962927742948727E-2</v>
      </c>
      <c r="D57" s="196" t="str">
        <f>REPT("█",ROUND(C57*18,0))</f>
        <v>█</v>
      </c>
      <c r="E57" s="176" t="s">
        <v>658</v>
      </c>
      <c r="F57" s="175">
        <f>'04_Portfolio_KPIs'!$C$17</f>
        <v>0.37</v>
      </c>
      <c r="G57" s="259" t="str">
        <f>REPT("█",ROUND(F57*18,0))</f>
        <v>███████</v>
      </c>
      <c r="H57" s="260"/>
      <c r="I57" s="181"/>
      <c r="J57" s="193"/>
      <c r="K57" s="194"/>
      <c r="L57" s="194"/>
      <c r="M57" s="194"/>
      <c r="N57" s="194"/>
      <c r="O57" s="194"/>
      <c r="P57" s="194"/>
      <c r="Q57" s="194"/>
      <c r="R57" s="194"/>
      <c r="S57" s="194"/>
      <c r="T57" s="194"/>
      <c r="U57" s="194"/>
      <c r="V57" s="205"/>
      <c r="W57" s="173"/>
    </row>
    <row r="58" spans="1:23" ht="18" customHeight="1">
      <c r="A58" s="181"/>
      <c r="B58" s="174" t="s">
        <v>649</v>
      </c>
      <c r="C58" s="175">
        <f>'04_Portfolio_KPIs'!$C$11</f>
        <v>0.45197515413671796</v>
      </c>
      <c r="D58" s="197" t="str">
        <f>REPT("█",ROUND(C58*18,0))</f>
        <v>████████</v>
      </c>
      <c r="E58" s="176" t="s">
        <v>456</v>
      </c>
      <c r="F58" s="175">
        <f>'04_Portfolio_KPIs'!$C$18</f>
        <v>0.34600000000000003</v>
      </c>
      <c r="G58" s="261" t="str">
        <f>REPT("█",ROUND(F58*18,0))</f>
        <v>██████</v>
      </c>
      <c r="H58" s="262"/>
      <c r="I58" s="181"/>
      <c r="J58" s="255" t="s">
        <v>468</v>
      </c>
      <c r="K58" s="256"/>
      <c r="L58" s="257"/>
      <c r="M58" s="194"/>
      <c r="N58" s="255" t="s">
        <v>468</v>
      </c>
      <c r="O58" s="256"/>
      <c r="P58" s="257"/>
      <c r="Q58" s="194"/>
      <c r="R58" s="255" t="s">
        <v>472</v>
      </c>
      <c r="S58" s="256"/>
      <c r="T58" s="257"/>
      <c r="U58" s="194"/>
      <c r="V58" s="205"/>
      <c r="W58" s="173"/>
    </row>
    <row r="59" spans="1:23" ht="18" customHeight="1">
      <c r="A59" s="181"/>
      <c r="B59" s="185"/>
      <c r="C59" s="186"/>
      <c r="D59" s="186"/>
      <c r="E59" s="186"/>
      <c r="F59" s="186"/>
      <c r="G59" s="186"/>
      <c r="H59" s="187"/>
      <c r="I59" s="181"/>
      <c r="J59" s="204"/>
      <c r="K59" s="194"/>
      <c r="L59" s="205"/>
      <c r="M59" s="194"/>
      <c r="N59" s="204"/>
      <c r="O59" s="194"/>
      <c r="P59" s="205"/>
      <c r="Q59" s="194"/>
      <c r="R59" s="204"/>
      <c r="S59" s="194"/>
      <c r="T59" s="205"/>
      <c r="U59" s="194"/>
      <c r="V59" s="205"/>
      <c r="W59" s="173"/>
    </row>
    <row r="60" spans="1:23" ht="18" customHeight="1">
      <c r="A60" s="181"/>
      <c r="B60" s="185"/>
      <c r="C60" s="186"/>
      <c r="D60" s="186"/>
      <c r="E60" s="186"/>
      <c r="F60" s="186"/>
      <c r="G60" s="186"/>
      <c r="H60" s="187"/>
      <c r="I60" s="181"/>
      <c r="J60" s="249">
        <f>INDEX('07_Transaction_Simulator'!$G$21:$G$25,MATCH(L54,'07_Transaction_Simulator'!$C$21:$C$25,0))</f>
        <v>130</v>
      </c>
      <c r="K60" s="250"/>
      <c r="L60" s="251"/>
      <c r="M60" s="194"/>
      <c r="N60" s="252">
        <f>INDEX('07_Transaction_Simulator'!$H$21:$H$25,MATCH(L54,'07_Transaction_Simulator'!$C$21:$C$25,0))</f>
        <v>520</v>
      </c>
      <c r="O60" s="253"/>
      <c r="P60" s="254"/>
      <c r="Q60" s="194"/>
      <c r="R60" s="221">
        <f>INDEX('07_Transaction_Simulator'!$P$21:$P$25,MATCH(L54,'07_Transaction_Simulator'!$C$21:$C$25,0))</f>
        <v>3.5693039857227937E-2</v>
      </c>
      <c r="S60" s="222"/>
      <c r="T60" s="223"/>
      <c r="U60" s="194"/>
      <c r="V60" s="205"/>
      <c r="W60" s="173"/>
    </row>
    <row r="61" spans="1:23" ht="18" customHeight="1">
      <c r="A61" s="181"/>
      <c r="B61" s="185"/>
      <c r="C61" s="186"/>
      <c r="D61" s="186"/>
      <c r="E61" s="186"/>
      <c r="F61" s="186"/>
      <c r="G61" s="186"/>
      <c r="H61" s="187"/>
      <c r="I61" s="181"/>
      <c r="J61" s="193"/>
      <c r="K61" s="194"/>
      <c r="L61" s="194"/>
      <c r="M61" s="194"/>
      <c r="N61" s="194"/>
      <c r="O61" s="194"/>
      <c r="P61" s="194"/>
      <c r="Q61" s="194"/>
      <c r="R61" s="194"/>
      <c r="S61" s="194"/>
      <c r="T61" s="194"/>
      <c r="U61" s="194"/>
      <c r="V61" s="205"/>
      <c r="W61" s="173"/>
    </row>
    <row r="62" spans="1:23" ht="18" customHeight="1">
      <c r="A62" s="181"/>
      <c r="B62" s="185"/>
      <c r="C62" s="186"/>
      <c r="D62" s="186"/>
      <c r="E62" s="186"/>
      <c r="F62" s="186"/>
      <c r="G62" s="186"/>
      <c r="H62" s="187"/>
      <c r="I62" s="181"/>
      <c r="J62" s="224" t="str">
        <f>INDEX('07_Transaction_Simulator'!$AB$21:$AB$25,MATCH(L54,'07_Transaction_Simulator'!$C$21:$C$25,0))</f>
        <v>Enhanced due diligence / portfolio committee review</v>
      </c>
      <c r="K62" s="225"/>
      <c r="L62" s="225"/>
      <c r="M62" s="225"/>
      <c r="N62" s="225"/>
      <c r="O62" s="225"/>
      <c r="P62" s="225"/>
      <c r="Q62" s="225"/>
      <c r="R62" s="225"/>
      <c r="S62" s="225"/>
      <c r="T62" s="225"/>
      <c r="U62" s="194"/>
      <c r="V62" s="205"/>
      <c r="W62" s="173"/>
    </row>
    <row r="63" spans="1:23" ht="18" customHeight="1">
      <c r="A63" s="181"/>
      <c r="B63" s="185"/>
      <c r="C63" s="186"/>
      <c r="D63" s="186"/>
      <c r="E63" s="186"/>
      <c r="F63" s="186"/>
      <c r="G63" s="186"/>
      <c r="H63" s="187"/>
      <c r="I63" s="181"/>
      <c r="J63" s="226" t="str">
        <f>INDEX('07_Transaction_Simulator'!$AA$21:$AA$25,MATCH(L54,'07_Transaction_Simulator'!$C$21:$C$25,0))</f>
        <v>Misaligned exposure increases to 36.3%</v>
      </c>
      <c r="K63" s="227"/>
      <c r="L63" s="227"/>
      <c r="M63" s="227"/>
      <c r="N63" s="227"/>
      <c r="O63" s="227"/>
      <c r="P63" s="227"/>
      <c r="Q63" s="227"/>
      <c r="R63" s="227"/>
      <c r="S63" s="227"/>
      <c r="T63" s="227"/>
      <c r="U63" s="227"/>
      <c r="V63" s="228"/>
      <c r="W63" s="173"/>
    </row>
    <row r="64" spans="1:23" ht="18" customHeight="1">
      <c r="A64" s="181"/>
      <c r="B64" s="188"/>
      <c r="C64" s="189"/>
      <c r="D64" s="189"/>
      <c r="E64" s="189"/>
      <c r="F64" s="189"/>
      <c r="G64" s="189"/>
      <c r="H64" s="190"/>
      <c r="I64" s="181"/>
      <c r="J64" s="229"/>
      <c r="K64" s="230"/>
      <c r="L64" s="230"/>
      <c r="M64" s="230"/>
      <c r="N64" s="230"/>
      <c r="O64" s="230"/>
      <c r="P64" s="230"/>
      <c r="Q64" s="230"/>
      <c r="R64" s="230"/>
      <c r="S64" s="230"/>
      <c r="T64" s="230"/>
      <c r="U64" s="230"/>
      <c r="V64" s="231"/>
      <c r="W64" s="173"/>
    </row>
    <row r="65" spans="1:23" ht="18" customHeight="1">
      <c r="A65" s="181"/>
      <c r="B65" s="181"/>
      <c r="C65" s="181"/>
      <c r="D65" s="181"/>
      <c r="E65" s="181"/>
      <c r="F65" s="181"/>
      <c r="G65" s="181"/>
      <c r="H65" s="181"/>
      <c r="I65" s="181"/>
      <c r="J65" s="181"/>
      <c r="K65" s="181"/>
      <c r="L65" s="181"/>
      <c r="M65" s="181"/>
      <c r="N65" s="181"/>
      <c r="O65" s="181"/>
      <c r="P65" s="181"/>
      <c r="Q65" s="181"/>
      <c r="R65" s="181"/>
      <c r="S65" s="181"/>
      <c r="T65" s="181"/>
      <c r="U65" s="181"/>
      <c r="V65" s="181"/>
      <c r="W65" s="173"/>
    </row>
    <row r="66" spans="1:23" ht="18" customHeight="1">
      <c r="A66" s="181"/>
      <c r="B66" s="232" t="s">
        <v>659</v>
      </c>
      <c r="C66" s="233"/>
      <c r="D66" s="233"/>
      <c r="E66" s="233"/>
      <c r="F66" s="233"/>
      <c r="G66" s="233"/>
      <c r="H66" s="233"/>
      <c r="I66" s="233"/>
      <c r="J66" s="233"/>
      <c r="K66" s="233"/>
      <c r="L66" s="233"/>
      <c r="M66" s="233"/>
      <c r="N66" s="233"/>
      <c r="O66" s="233"/>
      <c r="P66" s="233"/>
      <c r="Q66" s="233"/>
      <c r="R66" s="233"/>
      <c r="S66" s="233"/>
      <c r="T66" s="233"/>
      <c r="U66" s="233"/>
      <c r="V66" s="233"/>
      <c r="W66" s="173"/>
    </row>
    <row r="67" spans="1:23" ht="15">
      <c r="A67" s="172" t="s">
        <v>11</v>
      </c>
      <c r="B67" s="214"/>
      <c r="C67" s="214"/>
      <c r="D67" s="214"/>
      <c r="E67" s="214"/>
      <c r="F67" s="214"/>
      <c r="G67" s="214"/>
      <c r="H67" s="214"/>
      <c r="I67" s="214"/>
      <c r="J67" s="214"/>
      <c r="K67" s="214"/>
      <c r="L67" s="214"/>
      <c r="M67" s="214"/>
      <c r="N67" s="214"/>
      <c r="O67" s="214"/>
      <c r="P67" s="214"/>
      <c r="Q67" s="214"/>
      <c r="R67" s="214"/>
      <c r="S67" s="214"/>
      <c r="T67" s="214"/>
      <c r="U67" s="214"/>
      <c r="V67" s="214"/>
      <c r="W67" s="214"/>
    </row>
    <row r="68" spans="1:23"/>
  </sheetData>
  <mergeCells count="25">
    <mergeCell ref="B4:V4"/>
    <mergeCell ref="R58:T58"/>
    <mergeCell ref="G57:H57"/>
    <mergeCell ref="G58:H58"/>
    <mergeCell ref="B52:H52"/>
    <mergeCell ref="J52:V52"/>
    <mergeCell ref="B54:D54"/>
    <mergeCell ref="E54:H54"/>
    <mergeCell ref="G56:H56"/>
    <mergeCell ref="R60:T60"/>
    <mergeCell ref="J62:T62"/>
    <mergeCell ref="J63:V64"/>
    <mergeCell ref="B66:V66"/>
    <mergeCell ref="B5:V5"/>
    <mergeCell ref="B6:D10"/>
    <mergeCell ref="F6:H10"/>
    <mergeCell ref="J6:L10"/>
    <mergeCell ref="N6:P10"/>
    <mergeCell ref="R6:T10"/>
    <mergeCell ref="J55:T55"/>
    <mergeCell ref="J56:T56"/>
    <mergeCell ref="J60:L60"/>
    <mergeCell ref="N60:P60"/>
    <mergeCell ref="N58:P58"/>
    <mergeCell ref="J58:L58"/>
  </mergeCells>
  <dataValidations disablePrompts="1" count="1">
    <dataValidation type="list" sqref="L54" xr:uid="{00000000-0002-0000-0900-000000000000}">
      <formula1>"TX01,TX02,TX03,TX04,TX05"</formula1>
    </dataValidation>
  </dataValidation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D101"/>
  <sheetViews>
    <sheetView showGridLines="0" workbookViewId="0"/>
  </sheetViews>
  <sheetFormatPr baseColWidth="10" defaultColWidth="0" defaultRowHeight="14" zeroHeight="1"/>
  <cols>
    <col min="1" max="1" width="2.83203125" customWidth="1"/>
    <col min="2" max="2" width="26" customWidth="1"/>
    <col min="3" max="3" width="123" customWidth="1"/>
    <col min="4" max="4" width="8.83203125" customWidth="1"/>
    <col min="5" max="30" width="0" hidden="1" customWidth="1"/>
    <col min="31" max="16384" width="8.83203125" hidden="1"/>
  </cols>
  <sheetData>
    <row r="1" spans="1:30" ht="48" customHeight="1">
      <c r="A1" s="132" t="s">
        <v>661</v>
      </c>
      <c r="B1" s="21"/>
      <c r="C1" s="21"/>
      <c r="D1" s="21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  <c r="R1" s="140"/>
      <c r="S1" s="140"/>
      <c r="T1" s="140"/>
      <c r="U1" s="140"/>
      <c r="V1" s="140"/>
      <c r="W1" s="140"/>
      <c r="X1" s="140"/>
      <c r="Y1" s="140"/>
      <c r="Z1" s="140"/>
      <c r="AA1" s="140"/>
      <c r="AB1" s="140"/>
      <c r="AC1" s="140"/>
      <c r="AD1" s="140"/>
    </row>
    <row r="2" spans="1:30" ht="16" customHeight="1">
      <c r="A2" s="34" t="s">
        <v>662</v>
      </c>
      <c r="B2" s="75"/>
      <c r="C2" s="75"/>
      <c r="D2" s="75"/>
      <c r="E2" s="166"/>
      <c r="F2" s="166"/>
      <c r="G2" s="166"/>
      <c r="H2" s="166"/>
      <c r="I2" s="166"/>
      <c r="J2" s="166"/>
      <c r="K2" s="166"/>
      <c r="L2" s="166"/>
      <c r="M2" s="166"/>
      <c r="N2" s="166"/>
      <c r="O2" s="166"/>
      <c r="P2" s="166"/>
      <c r="Q2" s="166"/>
      <c r="R2" s="166"/>
      <c r="S2" s="166"/>
      <c r="T2" s="166"/>
      <c r="U2" s="166"/>
      <c r="V2" s="166"/>
      <c r="W2" s="166"/>
      <c r="X2" s="166"/>
      <c r="Y2" s="166"/>
      <c r="Z2" s="166"/>
      <c r="AA2" s="166"/>
      <c r="AB2" s="166"/>
      <c r="AC2" s="166"/>
      <c r="AD2" s="166"/>
    </row>
    <row r="3" spans="1:30"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30" ht="14" customHeight="1">
      <c r="A4" t="s">
        <v>11</v>
      </c>
      <c r="B4" s="212" t="s">
        <v>576</v>
      </c>
      <c r="C4" s="211"/>
      <c r="D4" s="213"/>
      <c r="E4" s="213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30" ht="16">
      <c r="B5" s="100" t="s">
        <v>577</v>
      </c>
      <c r="C5" s="100" t="s">
        <v>578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30" ht="15" customHeight="1">
      <c r="B6" s="137" t="s">
        <v>579</v>
      </c>
      <c r="C6" s="1" t="s">
        <v>580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30" ht="15" customHeight="1">
      <c r="B7" s="137" t="s">
        <v>581</v>
      </c>
      <c r="C7" s="1" t="s">
        <v>582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30" ht="15" customHeight="1">
      <c r="B8" s="137" t="s">
        <v>583</v>
      </c>
      <c r="C8" s="4" t="s">
        <v>603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30" ht="15" customHeight="1">
      <c r="B9" s="137" t="s">
        <v>584</v>
      </c>
      <c r="C9" s="1" t="s">
        <v>585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30" ht="15" customHeight="1">
      <c r="B10" s="137" t="s">
        <v>604</v>
      </c>
      <c r="C10" s="4" t="s">
        <v>605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30" ht="15" customHeight="1">
      <c r="B11" s="137" t="s">
        <v>606</v>
      </c>
      <c r="C11" s="4" t="s">
        <v>607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30" ht="15" customHeight="1">
      <c r="B12" s="137" t="s">
        <v>586</v>
      </c>
      <c r="C12" s="1" t="s">
        <v>587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30" ht="15" customHeight="1">
      <c r="B13" s="137" t="s">
        <v>588</v>
      </c>
      <c r="C13" s="1" t="s">
        <v>589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30" ht="15" customHeight="1">
      <c r="B14" s="137" t="s">
        <v>590</v>
      </c>
      <c r="C14" s="1" t="s">
        <v>591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30" ht="15" customHeight="1">
      <c r="B15" s="137" t="s">
        <v>592</v>
      </c>
      <c r="C15" s="1" t="s">
        <v>593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30" ht="15" customHeight="1">
      <c r="B16" s="137" t="s">
        <v>594</v>
      </c>
      <c r="C16" s="1" t="s">
        <v>595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5" customHeight="1">
      <c r="B17" s="137" t="s">
        <v>596</v>
      </c>
      <c r="C17" s="1" t="s">
        <v>597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15" customHeight="1">
      <c r="B18" s="137" t="s">
        <v>596</v>
      </c>
      <c r="C18" s="1" t="s">
        <v>598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5" customHeight="1">
      <c r="B19" s="137" t="s">
        <v>596</v>
      </c>
      <c r="C19" s="1" t="s">
        <v>599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15" customHeight="1">
      <c r="B20" s="137" t="s">
        <v>596</v>
      </c>
      <c r="C20" s="1" t="s">
        <v>600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5" customHeight="1">
      <c r="B21" s="137" t="s">
        <v>601</v>
      </c>
      <c r="C21" s="1" t="s">
        <v>602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15" customHeight="1">
      <c r="B22" s="137" t="s">
        <v>608</v>
      </c>
      <c r="C22" s="4" t="s">
        <v>609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5" customHeight="1">
      <c r="B23" s="137" t="s">
        <v>610</v>
      </c>
      <c r="C23" s="4" t="s">
        <v>611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15" customHeight="1">
      <c r="B24" s="137" t="s">
        <v>612</v>
      </c>
      <c r="C24" s="4" t="s">
        <v>613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5" customHeight="1">
      <c r="B25" s="137" t="s">
        <v>614</v>
      </c>
      <c r="C25" s="4" t="s">
        <v>615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5">
      <c r="A27" s="172" t="s">
        <v>11</v>
      </c>
      <c r="B27" s="214"/>
      <c r="C27" s="214"/>
      <c r="D27" s="214"/>
      <c r="E27" s="215"/>
      <c r="F27" s="215"/>
      <c r="G27" s="215"/>
      <c r="H27" s="215"/>
      <c r="I27" s="215"/>
      <c r="J27" s="215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idden="1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idden="1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idden="1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idden="1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2:27" hidden="1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2:27" hidden="1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2:27" hidden="1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2:27" hidden="1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2:27" hidden="1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2:27" hidden="1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2:27" hidden="1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2:27" hidden="1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2:27" hidden="1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2:27" hidden="1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2:27" hidden="1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2:27" hidden="1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2:27" hidden="1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2:27" hidden="1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2:27" hidden="1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2:27" hidden="1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2:27" hidden="1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2:27" hidden="1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2:27" hidden="1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2:27" hidden="1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2:27" hidden="1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2:27" hidden="1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2:27" hidden="1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2:27" hidden="1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2:27" hidden="1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2:27" hidden="1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2:27" hidden="1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2:27" hidden="1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2:27" hidden="1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2:27" hidden="1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2:27" hidden="1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2:27" hidden="1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2:27" hidden="1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2:27" hidden="1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2:27" hidden="1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2:27" hidden="1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2:27" hidden="1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2:27" hidden="1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2:27" hidden="1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2:27" hidden="1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2:27" hidden="1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2:27" hidden="1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2:27" hidden="1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2:27" hidden="1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2:27" hidden="1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2:27" hidden="1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2:27" hidden="1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2:27" hidden="1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2:27" hidden="1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2:27" hidden="1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2:27" hidden="1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2:27" hidden="1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2:27" hidden="1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2:27" hidden="1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2:27" hidden="1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2:27" hidden="1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2:27" hidden="1"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2:27" hidden="1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2:27" hidden="1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2:27" hidden="1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2:27" hidden="1"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2:27" hidden="1"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2:27" hidden="1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2:27" hidden="1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2:27" hidden="1"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2:27" hidden="1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2:27" hidden="1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2:27" hidden="1"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2:27" hidden="1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E101"/>
  <sheetViews>
    <sheetView showGridLines="0" workbookViewId="0"/>
  </sheetViews>
  <sheetFormatPr baseColWidth="10" defaultColWidth="0" defaultRowHeight="14" zeroHeight="1"/>
  <cols>
    <col min="1" max="1" width="2.83203125" customWidth="1"/>
    <col min="2" max="2" width="46" customWidth="1"/>
    <col min="3" max="4" width="20" customWidth="1"/>
    <col min="5" max="6" width="8.83203125" customWidth="1"/>
    <col min="7" max="31" width="0" hidden="1" customWidth="1"/>
    <col min="32" max="16384" width="8.83203125" hidden="1"/>
  </cols>
  <sheetData>
    <row r="1" spans="1:31" ht="48" customHeight="1">
      <c r="A1" s="132" t="s">
        <v>663</v>
      </c>
      <c r="B1" s="21"/>
      <c r="C1" s="21"/>
      <c r="D1" s="21"/>
      <c r="E1" s="21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  <c r="R1" s="140"/>
      <c r="S1" s="140"/>
      <c r="T1" s="140"/>
      <c r="U1" s="140"/>
      <c r="V1" s="140"/>
      <c r="W1" s="140"/>
      <c r="X1" s="140"/>
      <c r="Y1" s="140"/>
      <c r="Z1" s="140"/>
      <c r="AA1" s="140"/>
      <c r="AB1" s="140"/>
      <c r="AC1" s="140"/>
      <c r="AD1" s="140"/>
      <c r="AE1" s="140"/>
    </row>
    <row r="2" spans="1:31" ht="16" customHeight="1">
      <c r="A2" s="34" t="s">
        <v>667</v>
      </c>
      <c r="B2" s="75"/>
      <c r="C2" s="75"/>
      <c r="D2" s="75"/>
      <c r="E2" s="75"/>
      <c r="F2" s="166"/>
      <c r="G2" s="166"/>
      <c r="H2" s="166"/>
      <c r="I2" s="166"/>
      <c r="J2" s="166"/>
      <c r="K2" s="166"/>
      <c r="L2" s="166"/>
      <c r="M2" s="166"/>
      <c r="N2" s="166"/>
      <c r="O2" s="166"/>
      <c r="P2" s="166"/>
      <c r="Q2" s="166"/>
      <c r="R2" s="166"/>
      <c r="S2" s="166"/>
      <c r="T2" s="166"/>
      <c r="U2" s="166"/>
      <c r="V2" s="166"/>
      <c r="W2" s="166"/>
      <c r="X2" s="166"/>
      <c r="Y2" s="166"/>
      <c r="Z2" s="166"/>
      <c r="AA2" s="166"/>
      <c r="AB2" s="166"/>
      <c r="AC2" s="166"/>
      <c r="AD2" s="166"/>
      <c r="AE2" s="166"/>
    </row>
    <row r="3" spans="1:31"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31" ht="15">
      <c r="A4" t="s">
        <v>11</v>
      </c>
      <c r="B4" s="212" t="s">
        <v>616</v>
      </c>
      <c r="C4" s="212"/>
      <c r="D4" s="212"/>
      <c r="E4" s="77"/>
      <c r="F4" s="77"/>
      <c r="G4" s="77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</row>
    <row r="5" spans="1:31" ht="16">
      <c r="B5" s="100" t="s">
        <v>418</v>
      </c>
      <c r="C5" s="100" t="s">
        <v>617</v>
      </c>
      <c r="D5" s="100" t="s">
        <v>618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</row>
    <row r="6" spans="1:31" ht="15">
      <c r="B6" s="4" t="s">
        <v>619</v>
      </c>
      <c r="C6" s="139" t="b">
        <f>COUNTIF('01_Portfolio_Input'!B5:AF5,"is_top_10_contributor")=0</f>
        <v>1</v>
      </c>
      <c r="D6" s="4" t="str">
        <f>IF(C6,"Passed","Failed")</f>
        <v>Passed</v>
      </c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spans="1:31" ht="15">
      <c r="B7" s="4" t="s">
        <v>620</v>
      </c>
      <c r="C7" s="139" t="b">
        <f>COUNTIF('01_Portfolio_Input'!B5:AF5,"alignment_status")=0</f>
        <v>1</v>
      </c>
      <c r="D7" s="4" t="str">
        <f>IF(C7,"Passed","Failed")</f>
        <v>Passed</v>
      </c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</row>
    <row r="8" spans="1:31" ht="15">
      <c r="B8" s="4" t="s">
        <v>621</v>
      </c>
      <c r="C8" s="139">
        <f>COUNTA('01_Portfolio_Input'!B6:B65)</f>
        <v>60</v>
      </c>
      <c r="D8" s="4" t="str">
        <f>IF(C8=60,"Passed","Failed")</f>
        <v>Passed</v>
      </c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</row>
    <row r="9" spans="1:31" ht="15">
      <c r="B9" s="4" t="s">
        <v>622</v>
      </c>
      <c r="C9" s="139">
        <f>COUNTA('05_Sector_Pathways'!B6:B16)</f>
        <v>11</v>
      </c>
      <c r="D9" s="4" t="str">
        <f>IF(C9=11,"Passed","Failed")</f>
        <v>Passed</v>
      </c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</row>
    <row r="10" spans="1:31" ht="15">
      <c r="B10" s="4" t="s">
        <v>623</v>
      </c>
      <c r="C10" s="139">
        <f>ROUND(SUM('01_Portfolio_Input'!I6:I65),0)</f>
        <v>4820</v>
      </c>
      <c r="D10" s="4" t="str">
        <f>IF(C10=4820,"Passed","Failed")</f>
        <v>Passed</v>
      </c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</row>
    <row r="11" spans="1:31" ht="15">
      <c r="B11" s="4" t="s">
        <v>624</v>
      </c>
      <c r="C11" s="139">
        <f>ROUND(SUM('03_Financed_Emissions'!L6:L65),0)</f>
        <v>8100</v>
      </c>
      <c r="D11" s="4" t="str">
        <f>IF(C11=8100,"Passed","Failed")</f>
        <v>Passed</v>
      </c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</row>
    <row r="12" spans="1:31" ht="15">
      <c r="B12" s="4" t="s">
        <v>625</v>
      </c>
      <c r="C12" s="139">
        <f>ROUNDUP(SUM('03_Financed_Emissions'!L6:L65)*1000/SUM('03_Financed_Emissions'!E6:E65),0)</f>
        <v>1681</v>
      </c>
      <c r="D12" s="4" t="str">
        <f>IF(C12=1681,"Passed","Failed")</f>
        <v>Passed</v>
      </c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</row>
    <row r="13" spans="1:31" ht="15">
      <c r="B13" s="4" t="s">
        <v>626</v>
      </c>
      <c r="C13" s="139">
        <f>ROUND(SUMIF('03_Financed_Emissions'!O6:O65,TRUE,'03_Financed_Emissions'!L6:L65)/SUM('03_Financed_Emissions'!L6:L65),3)</f>
        <v>0.59599999999999997</v>
      </c>
      <c r="D13" s="4" t="str">
        <f>IF(C13=0.596,"Passed","Failed")</f>
        <v>Passed</v>
      </c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</row>
    <row r="14" spans="1:31" ht="15">
      <c r="B14" s="4" t="s">
        <v>627</v>
      </c>
      <c r="C14" s="139">
        <f>ROUND(SUMIF('06_Alignment_Analysis'!O13:O72,"Aligned",'06_Alignment_Analysis'!E13:E72)/SUM('06_Alignment_Analysis'!E13:E72),3)</f>
        <v>0.28399999999999997</v>
      </c>
      <c r="D14" s="4" t="str">
        <f>IF(C14=0.284,"Passed","Failed")</f>
        <v>Passed</v>
      </c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</row>
    <row r="15" spans="1:31" ht="15">
      <c r="B15" s="4" t="s">
        <v>628</v>
      </c>
      <c r="C15" s="139">
        <f>ROUND(SUMIF('06_Alignment_Analysis'!O13:O72,"Partially aligned",'06_Alignment_Analysis'!E13:E72)/SUM('06_Alignment_Analysis'!E13:E72),3)</f>
        <v>0.37</v>
      </c>
      <c r="D15" s="4" t="str">
        <f>IF(C15=0.37,"Passed","Failed")</f>
        <v>Passed</v>
      </c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</row>
    <row r="16" spans="1:31" ht="15">
      <c r="B16" s="4" t="s">
        <v>629</v>
      </c>
      <c r="C16" s="139">
        <f>ROUND(SUMIF('06_Alignment_Analysis'!O13:O72,"Misaligned",'06_Alignment_Analysis'!E13:E72)/SUM('06_Alignment_Analysis'!E13:E72),3)</f>
        <v>0.34599999999999997</v>
      </c>
      <c r="D16" s="4" t="str">
        <f>IF(C16=0.346,"Passed","Failed")</f>
        <v>Passed</v>
      </c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</row>
    <row r="17" spans="1:27" ht="15">
      <c r="B17" s="4" t="s">
        <v>630</v>
      </c>
      <c r="C17" s="139" t="b">
        <f>ROUND(SUM('01_Portfolio_Input'!S6:S65)-SUM('03_Financed_Emissions'!F6:F65),1)=0</f>
        <v>1</v>
      </c>
      <c r="D17" s="4" t="str">
        <f>IF(C17,"Passed","Failed")</f>
        <v>Passed</v>
      </c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</row>
    <row r="18" spans="1:27" ht="15">
      <c r="B18" s="4" t="s">
        <v>631</v>
      </c>
      <c r="C18" s="4"/>
      <c r="D18" s="4" t="str">
        <f>IF(COUNTIF(D6:D17,"Failed")=0,"Passed","Failed")</f>
        <v>Passed</v>
      </c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</row>
    <row r="19" spans="1:27"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</row>
    <row r="20" spans="1:27" ht="15">
      <c r="A20" s="172" t="s">
        <v>11</v>
      </c>
      <c r="B20" s="214"/>
      <c r="C20" s="214"/>
      <c r="D20" s="214"/>
      <c r="E20" s="214"/>
      <c r="F20" s="215"/>
      <c r="G20" s="215"/>
      <c r="H20" s="215"/>
      <c r="I20" s="215"/>
      <c r="J20" s="215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</row>
    <row r="22" spans="1:27" hidden="1"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</row>
    <row r="23" spans="1:27" hidden="1"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</row>
    <row r="24" spans="1:27" hidden="1"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</row>
    <row r="25" spans="1:27" hidden="1"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</row>
    <row r="26" spans="1:27" hidden="1"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</row>
    <row r="27" spans="1:27" hidden="1"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</row>
    <row r="28" spans="1:27" hidden="1"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</row>
    <row r="29" spans="1:27" hidden="1"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</row>
    <row r="30" spans="1:27" hidden="1"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</row>
    <row r="31" spans="1:27" hidden="1"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</row>
    <row r="32" spans="1:27" hidden="1"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</row>
    <row r="33" spans="2:27" hidden="1"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</row>
    <row r="34" spans="2:27" hidden="1"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</row>
    <row r="35" spans="2:27" hidden="1"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</row>
    <row r="36" spans="2:27" hidden="1"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</row>
    <row r="37" spans="2:27" hidden="1"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</row>
    <row r="38" spans="2:27" hidden="1"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</row>
    <row r="39" spans="2:27" hidden="1"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</row>
    <row r="40" spans="2:27" hidden="1"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</row>
    <row r="41" spans="2:27" hidden="1"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</row>
    <row r="42" spans="2:27" hidden="1"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</row>
    <row r="43" spans="2:27" hidden="1"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</row>
    <row r="44" spans="2:27" hidden="1"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</row>
    <row r="45" spans="2:27" hidden="1"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</row>
    <row r="46" spans="2:27" hidden="1"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</row>
    <row r="47" spans="2:27" hidden="1"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</row>
    <row r="48" spans="2:27" hidden="1"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</row>
    <row r="49" spans="2:27" hidden="1"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</row>
    <row r="50" spans="2:27" hidden="1"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</row>
    <row r="51" spans="2:27" hidden="1"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</row>
    <row r="52" spans="2:27" hidden="1"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</row>
    <row r="53" spans="2:27" hidden="1"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</row>
    <row r="54" spans="2:27" hidden="1"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</row>
    <row r="55" spans="2:27" hidden="1"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</row>
    <row r="56" spans="2:27" hidden="1"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</row>
    <row r="57" spans="2:27" hidden="1"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</row>
    <row r="58" spans="2:27" hidden="1"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</row>
    <row r="59" spans="2:27" hidden="1"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</row>
    <row r="60" spans="2:27" hidden="1"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</row>
    <row r="61" spans="2:27" hidden="1"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</row>
    <row r="62" spans="2:27" hidden="1"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</row>
    <row r="63" spans="2:27" hidden="1"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</row>
    <row r="64" spans="2:27" hidden="1"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</row>
    <row r="65" spans="2:27" hidden="1"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</row>
    <row r="66" spans="2:27" hidden="1"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</row>
    <row r="67" spans="2:27" hidden="1"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</row>
    <row r="68" spans="2:27" hidden="1"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</row>
    <row r="69" spans="2:27" hidden="1"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</row>
    <row r="70" spans="2:27" hidden="1"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</row>
    <row r="71" spans="2:27" hidden="1"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</row>
    <row r="72" spans="2:27" hidden="1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</row>
    <row r="73" spans="2:27" hidden="1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</row>
    <row r="74" spans="2:27" hidden="1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</row>
    <row r="75" spans="2:27" hidden="1"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</row>
    <row r="76" spans="2:27" hidden="1"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</row>
    <row r="77" spans="2:27" hidden="1"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</row>
    <row r="78" spans="2:27" hidden="1"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</row>
    <row r="79" spans="2:27" hidden="1"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</row>
    <row r="80" spans="2:27" hidden="1"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</row>
    <row r="81" spans="2:27" hidden="1"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</row>
    <row r="82" spans="2:27" hidden="1"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</row>
    <row r="83" spans="2:27" hidden="1"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</row>
    <row r="84" spans="2:27" hidden="1"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</row>
    <row r="85" spans="2:27" hidden="1"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</row>
    <row r="86" spans="2:27" hidden="1"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</row>
    <row r="87" spans="2:27" hidden="1"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</row>
    <row r="88" spans="2:27" hidden="1"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</row>
    <row r="89" spans="2:27" hidden="1"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</row>
    <row r="90" spans="2:27" hidden="1"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</row>
    <row r="91" spans="2:27" hidden="1"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</row>
    <row r="92" spans="2:27" hidden="1"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</row>
    <row r="93" spans="2:27" hidden="1"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</row>
    <row r="94" spans="2:27" hidden="1"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</row>
    <row r="95" spans="2:27" hidden="1"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</row>
    <row r="96" spans="2:27" hidden="1"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</row>
    <row r="97" spans="2:27" hidden="1"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</row>
    <row r="98" spans="2:27" hidden="1"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</row>
    <row r="99" spans="2:27" hidden="1"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</row>
    <row r="100" spans="2:27" hidden="1"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</row>
    <row r="101" spans="2:27" hidden="1"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L104"/>
  <sheetViews>
    <sheetView showGridLines="0" workbookViewId="0">
      <pane xSplit="4" ySplit="5" topLeftCell="E6" activePane="bottomRight" state="frozen"/>
      <selection pane="topRight" activeCell="E1" sqref="E1"/>
      <selection pane="bottomLeft" activeCell="A6" sqref="A6"/>
      <selection pane="bottomRight"/>
    </sheetView>
  </sheetViews>
  <sheetFormatPr baseColWidth="10" defaultColWidth="0" defaultRowHeight="14" zeroHeight="1"/>
  <cols>
    <col min="1" max="1" width="2.83203125" customWidth="1"/>
    <col min="2" max="2" width="14" customWidth="1"/>
    <col min="3" max="3" width="26" customWidth="1"/>
    <col min="4" max="4" width="20" customWidth="1"/>
    <col min="5" max="6" width="14" customWidth="1"/>
    <col min="7" max="7" width="18" customWidth="1"/>
    <col min="8" max="8" width="10" customWidth="1"/>
    <col min="9" max="9" width="15" customWidth="1"/>
    <col min="10" max="10" width="14" customWidth="1"/>
    <col min="11" max="11" width="13" customWidth="1"/>
    <col min="12" max="13" width="14" customWidth="1"/>
    <col min="14" max="14" width="21.5" customWidth="1"/>
    <col min="15" max="15" width="14" customWidth="1"/>
    <col min="16" max="17" width="21" customWidth="1"/>
    <col min="18" max="18" width="19.1640625" customWidth="1"/>
    <col min="19" max="19" width="16" customWidth="1"/>
    <col min="20" max="20" width="18.33203125" customWidth="1"/>
    <col min="21" max="21" width="18.5" customWidth="1"/>
    <col min="22" max="22" width="17.83203125" customWidth="1"/>
    <col min="23" max="23" width="12" customWidth="1"/>
    <col min="24" max="25" width="14" customWidth="1"/>
    <col min="26" max="27" width="26" customWidth="1"/>
    <col min="28" max="29" width="13" customWidth="1"/>
    <col min="30" max="30" width="15" customWidth="1"/>
    <col min="31" max="31" width="43.33203125" customWidth="1"/>
    <col min="32" max="32" width="48" customWidth="1"/>
    <col min="33" max="64" width="8.83203125" customWidth="1"/>
    <col min="65" max="16384" width="8.83203125" hidden="1"/>
  </cols>
  <sheetData>
    <row r="1" spans="1:64" ht="47" customHeight="1">
      <c r="A1" s="132" t="s">
        <v>8</v>
      </c>
      <c r="B1" s="131"/>
      <c r="C1" s="21"/>
      <c r="D1" s="21"/>
      <c r="E1" s="21"/>
      <c r="F1" s="21"/>
      <c r="G1" s="21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</row>
    <row r="2" spans="1:64" ht="15">
      <c r="A2" s="34" t="s">
        <v>9</v>
      </c>
      <c r="B2" s="25"/>
      <c r="C2" s="26"/>
      <c r="D2" s="25"/>
      <c r="E2" s="27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4"/>
      <c r="AW2" s="24"/>
      <c r="AX2" s="24"/>
      <c r="AY2" s="24"/>
      <c r="AZ2" s="24"/>
      <c r="BA2" s="24"/>
      <c r="BB2" s="24"/>
      <c r="BC2" s="24"/>
      <c r="BD2" s="24"/>
      <c r="BE2" s="24"/>
      <c r="BF2" s="24"/>
      <c r="BG2" s="24"/>
      <c r="BH2" s="24"/>
      <c r="BI2" s="24"/>
      <c r="BJ2" s="24"/>
      <c r="BK2" s="24"/>
      <c r="BL2" s="24"/>
    </row>
    <row r="3" spans="1:64"/>
    <row r="4" spans="1:64" ht="15">
      <c r="B4" s="32" t="s">
        <v>10</v>
      </c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2"/>
      <c r="AX4" s="32"/>
      <c r="AY4" s="32"/>
      <c r="AZ4" s="32"/>
      <c r="BA4" s="32"/>
      <c r="BB4" s="32"/>
      <c r="BC4" s="32"/>
      <c r="BD4" s="32"/>
      <c r="BE4" s="32"/>
      <c r="BF4" s="32"/>
      <c r="BG4" s="32"/>
      <c r="BH4" s="32"/>
      <c r="BI4" s="32"/>
      <c r="BJ4" s="32"/>
      <c r="BK4" s="32"/>
    </row>
    <row r="5" spans="1:64" ht="32" customHeight="1">
      <c r="A5" t="s">
        <v>11</v>
      </c>
      <c r="B5" s="13" t="s">
        <v>12</v>
      </c>
      <c r="C5" s="13" t="s">
        <v>13</v>
      </c>
      <c r="D5" s="13" t="s">
        <v>14</v>
      </c>
      <c r="E5" s="13" t="s">
        <v>15</v>
      </c>
      <c r="F5" s="13" t="s">
        <v>16</v>
      </c>
      <c r="G5" s="13" t="s">
        <v>17</v>
      </c>
      <c r="H5" s="13" t="s">
        <v>18</v>
      </c>
      <c r="I5" s="14" t="s">
        <v>19</v>
      </c>
      <c r="J5" s="14" t="s">
        <v>20</v>
      </c>
      <c r="K5" s="15" t="s">
        <v>21</v>
      </c>
      <c r="L5" s="14" t="s">
        <v>22</v>
      </c>
      <c r="M5" s="16" t="s">
        <v>23</v>
      </c>
      <c r="N5" s="14" t="s">
        <v>24</v>
      </c>
      <c r="O5" s="16" t="s">
        <v>25</v>
      </c>
      <c r="P5" s="14" t="s">
        <v>26</v>
      </c>
      <c r="Q5" s="14" t="s">
        <v>27</v>
      </c>
      <c r="R5" s="14" t="s">
        <v>28</v>
      </c>
      <c r="S5" s="17" t="s">
        <v>29</v>
      </c>
      <c r="T5" s="17" t="s">
        <v>30</v>
      </c>
      <c r="U5" s="17" t="s">
        <v>31</v>
      </c>
      <c r="V5" s="13" t="s">
        <v>32</v>
      </c>
      <c r="W5" s="13" t="s">
        <v>33</v>
      </c>
      <c r="X5" s="18" t="s">
        <v>34</v>
      </c>
      <c r="Y5" s="18" t="s">
        <v>35</v>
      </c>
      <c r="Z5" s="19" t="s">
        <v>36</v>
      </c>
      <c r="AA5" s="18" t="s">
        <v>37</v>
      </c>
      <c r="AB5" s="18" t="s">
        <v>38</v>
      </c>
      <c r="AC5" s="13" t="s">
        <v>39</v>
      </c>
      <c r="AD5" s="13" t="s">
        <v>40</v>
      </c>
      <c r="AE5" s="13" t="s">
        <v>41</v>
      </c>
      <c r="AF5" s="114"/>
      <c r="AG5" s="114"/>
      <c r="AH5" s="114"/>
      <c r="AI5" s="114"/>
      <c r="AJ5" s="114"/>
      <c r="AK5" s="114"/>
      <c r="AL5" s="114"/>
      <c r="AM5" s="114"/>
      <c r="AN5" s="114" t="s">
        <v>42</v>
      </c>
      <c r="AO5" s="114"/>
      <c r="AP5" s="114"/>
      <c r="AQ5" s="114"/>
      <c r="AR5" s="114"/>
      <c r="AS5" s="114"/>
      <c r="AT5" s="114"/>
      <c r="AU5" s="114"/>
      <c r="AV5" s="114"/>
      <c r="AW5" s="114"/>
      <c r="AX5" s="114"/>
      <c r="AY5" s="114"/>
      <c r="AZ5" s="114"/>
      <c r="BA5" s="114"/>
      <c r="BB5" s="114"/>
      <c r="BC5" s="114"/>
      <c r="BD5" s="114"/>
      <c r="BE5" s="114"/>
      <c r="BF5" s="114"/>
      <c r="BG5" s="114"/>
      <c r="BH5" s="114"/>
      <c r="BI5" s="114"/>
      <c r="BJ5" s="114"/>
      <c r="BK5" s="114"/>
    </row>
    <row r="6" spans="1:64">
      <c r="B6" s="115" t="s">
        <v>43</v>
      </c>
      <c r="C6" s="115" t="s">
        <v>44</v>
      </c>
      <c r="D6" s="115" t="s">
        <v>45</v>
      </c>
      <c r="E6" s="115" t="s">
        <v>46</v>
      </c>
      <c r="F6" s="115" t="s">
        <v>47</v>
      </c>
      <c r="G6" s="115" t="s">
        <v>48</v>
      </c>
      <c r="H6" s="115">
        <v>2034</v>
      </c>
      <c r="I6" s="122">
        <v>160</v>
      </c>
      <c r="J6" s="122">
        <v>6602.87</v>
      </c>
      <c r="K6" s="123">
        <v>6.2899999999999998E-2</v>
      </c>
      <c r="L6" s="121">
        <f t="shared" ref="L6:L37" si="0">J6*K6</f>
        <v>415.32052299999998</v>
      </c>
      <c r="M6" s="124">
        <v>0.41537800000000002</v>
      </c>
      <c r="N6" s="121">
        <f t="shared" ref="N6:N37" si="1">J6*M6</f>
        <v>2742.6869348600003</v>
      </c>
      <c r="O6" s="124">
        <v>7.089931</v>
      </c>
      <c r="P6" s="121">
        <f t="shared" ref="P6:P37" si="2">L6*O6</f>
        <v>2944.5938509539128</v>
      </c>
      <c r="Q6" s="121">
        <f t="shared" ref="Q6:Q37" si="3">AVERAGE(N6,P6)</f>
        <v>2843.6403929069565</v>
      </c>
      <c r="R6" s="122">
        <v>65.45</v>
      </c>
      <c r="S6" s="121">
        <f t="shared" ref="S6:S37" si="4">Q6+R6</f>
        <v>2909.0903929069564</v>
      </c>
      <c r="T6" s="125">
        <v>7765803.2599999998</v>
      </c>
      <c r="U6" s="125">
        <v>2114183.7000000002</v>
      </c>
      <c r="V6" s="125">
        <v>2665467.59</v>
      </c>
      <c r="W6" s="126">
        <v>3</v>
      </c>
      <c r="X6" s="127" t="b">
        <v>0</v>
      </c>
      <c r="Y6" s="127" t="b">
        <v>1</v>
      </c>
      <c r="Z6" s="115" t="s">
        <v>49</v>
      </c>
      <c r="AA6" s="115" t="s">
        <v>50</v>
      </c>
      <c r="AB6" s="126">
        <v>5</v>
      </c>
      <c r="AC6" s="126">
        <v>12</v>
      </c>
      <c r="AD6" s="128" t="b">
        <v>1</v>
      </c>
      <c r="AE6" s="115" t="s">
        <v>51</v>
      </c>
      <c r="AF6" s="115" t="s">
        <v>52</v>
      </c>
      <c r="AG6" s="115"/>
      <c r="AH6" s="115"/>
      <c r="AI6" s="115"/>
      <c r="AJ6" s="115"/>
    </row>
    <row r="7" spans="1:64">
      <c r="B7" s="115" t="s">
        <v>53</v>
      </c>
      <c r="C7" s="115" t="s">
        <v>54</v>
      </c>
      <c r="D7" s="115" t="s">
        <v>55</v>
      </c>
      <c r="E7" s="115" t="s">
        <v>56</v>
      </c>
      <c r="F7" s="115" t="s">
        <v>57</v>
      </c>
      <c r="G7" s="115" t="s">
        <v>48</v>
      </c>
      <c r="H7" s="115">
        <v>2042</v>
      </c>
      <c r="I7" s="122">
        <v>250</v>
      </c>
      <c r="J7" s="122">
        <v>5422.22</v>
      </c>
      <c r="K7" s="123">
        <v>0.18629999999999999</v>
      </c>
      <c r="L7" s="121">
        <f t="shared" si="0"/>
        <v>1010.159586</v>
      </c>
      <c r="M7" s="124">
        <v>0.96055900000000005</v>
      </c>
      <c r="N7" s="121">
        <f t="shared" si="1"/>
        <v>5208.3622209800005</v>
      </c>
      <c r="O7" s="124">
        <v>5.5134040000000004</v>
      </c>
      <c r="P7" s="121">
        <f t="shared" si="2"/>
        <v>5569.4179020907441</v>
      </c>
      <c r="Q7" s="121">
        <f t="shared" si="3"/>
        <v>5388.8900615353723</v>
      </c>
      <c r="R7" s="122">
        <v>166.67</v>
      </c>
      <c r="S7" s="121">
        <f t="shared" si="4"/>
        <v>5555.5600615353724</v>
      </c>
      <c r="T7" s="125">
        <v>1157967.03</v>
      </c>
      <c r="U7" s="125">
        <v>333792.15000000002</v>
      </c>
      <c r="V7" s="125">
        <v>12063796.380000001</v>
      </c>
      <c r="W7" s="126">
        <v>4</v>
      </c>
      <c r="X7" s="127" t="b">
        <v>0</v>
      </c>
      <c r="Y7" s="127" t="b">
        <v>1</v>
      </c>
      <c r="Z7" s="115" t="s">
        <v>49</v>
      </c>
      <c r="AA7" s="115" t="s">
        <v>50</v>
      </c>
      <c r="AB7" s="126">
        <v>5</v>
      </c>
      <c r="AC7" s="126">
        <v>35</v>
      </c>
      <c r="AD7" s="128" t="b">
        <v>1</v>
      </c>
      <c r="AE7" s="115" t="s">
        <v>58</v>
      </c>
      <c r="AF7" s="115" t="s">
        <v>59</v>
      </c>
      <c r="AG7" s="115"/>
      <c r="AH7" s="115"/>
      <c r="AI7" s="115"/>
      <c r="AJ7" s="115"/>
    </row>
    <row r="8" spans="1:64">
      <c r="B8" s="115" t="s">
        <v>60</v>
      </c>
      <c r="C8" s="115" t="s">
        <v>61</v>
      </c>
      <c r="D8" s="115" t="s">
        <v>62</v>
      </c>
      <c r="E8" s="115" t="s">
        <v>63</v>
      </c>
      <c r="F8" s="115" t="s">
        <v>47</v>
      </c>
      <c r="G8" s="115" t="s">
        <v>64</v>
      </c>
      <c r="H8" s="115">
        <v>2026</v>
      </c>
      <c r="I8" s="122">
        <v>210</v>
      </c>
      <c r="J8" s="122">
        <v>9062.5</v>
      </c>
      <c r="K8" s="123">
        <v>6.8199999999999997E-2</v>
      </c>
      <c r="L8" s="121">
        <f t="shared" si="0"/>
        <v>618.0625</v>
      </c>
      <c r="M8" s="124">
        <v>0.53721600000000003</v>
      </c>
      <c r="N8" s="121">
        <f t="shared" si="1"/>
        <v>4868.5200000000004</v>
      </c>
      <c r="O8" s="124">
        <v>8.3895090000000003</v>
      </c>
      <c r="P8" s="121">
        <f t="shared" si="2"/>
        <v>5185.2409063125006</v>
      </c>
      <c r="Q8" s="121">
        <f t="shared" si="3"/>
        <v>5026.880453156251</v>
      </c>
      <c r="R8" s="122">
        <v>223.13</v>
      </c>
      <c r="S8" s="121">
        <f t="shared" si="4"/>
        <v>5250.0104531562511</v>
      </c>
      <c r="T8" s="125">
        <v>10337412.75</v>
      </c>
      <c r="U8" s="125">
        <v>718819.12</v>
      </c>
      <c r="V8" s="125">
        <v>3443768.13</v>
      </c>
      <c r="W8" s="126">
        <v>2</v>
      </c>
      <c r="X8" s="127" t="b">
        <v>1</v>
      </c>
      <c r="Y8" s="127" t="b">
        <v>0</v>
      </c>
      <c r="Z8" s="115" t="s">
        <v>65</v>
      </c>
      <c r="AA8" s="115" t="s">
        <v>66</v>
      </c>
      <c r="AB8" s="126">
        <v>18</v>
      </c>
      <c r="AC8" s="126">
        <v>2</v>
      </c>
      <c r="AD8" s="128" t="b">
        <v>0</v>
      </c>
      <c r="AE8" s="115" t="s">
        <v>67</v>
      </c>
      <c r="AF8" s="115" t="s">
        <v>68</v>
      </c>
      <c r="AG8" s="115"/>
      <c r="AH8" s="115"/>
      <c r="AI8" s="115"/>
      <c r="AJ8" s="115"/>
    </row>
    <row r="9" spans="1:64">
      <c r="B9" s="115" t="s">
        <v>69</v>
      </c>
      <c r="C9" s="115" t="s">
        <v>70</v>
      </c>
      <c r="D9" s="115" t="s">
        <v>71</v>
      </c>
      <c r="E9" s="115" t="s">
        <v>72</v>
      </c>
      <c r="F9" s="115" t="s">
        <v>73</v>
      </c>
      <c r="G9" s="115" t="s">
        <v>48</v>
      </c>
      <c r="H9" s="115">
        <v>2038</v>
      </c>
      <c r="I9" s="122">
        <v>120</v>
      </c>
      <c r="J9" s="122">
        <v>4909.09</v>
      </c>
      <c r="K9" s="123">
        <v>6.5199999999999994E-2</v>
      </c>
      <c r="L9" s="121">
        <f t="shared" si="0"/>
        <v>320.07266799999996</v>
      </c>
      <c r="M9" s="124">
        <v>0.45662199999999997</v>
      </c>
      <c r="N9" s="121">
        <f t="shared" si="1"/>
        <v>2241.5984939800001</v>
      </c>
      <c r="O9" s="124">
        <v>7.6558250000000001</v>
      </c>
      <c r="P9" s="121">
        <f t="shared" si="2"/>
        <v>2450.4203334910999</v>
      </c>
      <c r="Q9" s="121">
        <f t="shared" si="3"/>
        <v>2346.00941373555</v>
      </c>
      <c r="R9" s="122">
        <v>54</v>
      </c>
      <c r="S9" s="121">
        <f t="shared" si="4"/>
        <v>2400.00941373555</v>
      </c>
      <c r="T9" s="125">
        <v>8533354.3399999999</v>
      </c>
      <c r="U9" s="125">
        <v>879928.26</v>
      </c>
      <c r="V9" s="125">
        <v>1386717.4</v>
      </c>
      <c r="W9" s="126">
        <v>3</v>
      </c>
      <c r="X9" s="127" t="b">
        <v>0</v>
      </c>
      <c r="Y9" s="127" t="b">
        <v>1</v>
      </c>
      <c r="Z9" s="115" t="s">
        <v>49</v>
      </c>
      <c r="AA9" s="115" t="s">
        <v>50</v>
      </c>
      <c r="AB9" s="126">
        <v>5</v>
      </c>
      <c r="AC9" s="126">
        <v>12</v>
      </c>
      <c r="AD9" s="128" t="b">
        <v>1</v>
      </c>
      <c r="AE9" s="115" t="s">
        <v>74</v>
      </c>
      <c r="AF9" s="115" t="s">
        <v>75</v>
      </c>
      <c r="AG9" s="115"/>
      <c r="AH9" s="115"/>
      <c r="AI9" s="115"/>
      <c r="AJ9" s="115"/>
    </row>
    <row r="10" spans="1:64">
      <c r="B10" s="115" t="s">
        <v>76</v>
      </c>
      <c r="C10" s="115" t="s">
        <v>77</v>
      </c>
      <c r="D10" s="115" t="s">
        <v>78</v>
      </c>
      <c r="E10" s="115" t="s">
        <v>79</v>
      </c>
      <c r="F10" s="115" t="s">
        <v>47</v>
      </c>
      <c r="G10" s="115" t="s">
        <v>80</v>
      </c>
      <c r="H10" s="115">
        <v>2040</v>
      </c>
      <c r="I10" s="122">
        <v>150</v>
      </c>
      <c r="J10" s="122">
        <v>4656.8599999999997</v>
      </c>
      <c r="K10" s="123">
        <v>5.96E-2</v>
      </c>
      <c r="L10" s="121">
        <f t="shared" si="0"/>
        <v>277.548856</v>
      </c>
      <c r="M10" s="124">
        <v>0.49449599999999999</v>
      </c>
      <c r="N10" s="121">
        <f t="shared" si="1"/>
        <v>2302.7986425599997</v>
      </c>
      <c r="O10" s="124">
        <v>8.9972980000000007</v>
      </c>
      <c r="P10" s="121">
        <f t="shared" si="2"/>
        <v>2497.1897669910882</v>
      </c>
      <c r="Q10" s="121">
        <f t="shared" si="3"/>
        <v>2399.9942047755439</v>
      </c>
      <c r="R10" s="122">
        <v>100</v>
      </c>
      <c r="S10" s="121">
        <f t="shared" si="4"/>
        <v>2499.9942047755439</v>
      </c>
      <c r="T10" s="125">
        <v>6753018.9299999997</v>
      </c>
      <c r="U10" s="125">
        <v>243325.65</v>
      </c>
      <c r="V10" s="125">
        <v>920322.08</v>
      </c>
      <c r="W10" s="126">
        <v>4</v>
      </c>
      <c r="X10" s="127" t="b">
        <v>0</v>
      </c>
      <c r="Y10" s="127" t="b">
        <v>1</v>
      </c>
      <c r="Z10" s="115" t="s">
        <v>49</v>
      </c>
      <c r="AA10" s="115" t="s">
        <v>50</v>
      </c>
      <c r="AB10" s="126">
        <v>5</v>
      </c>
      <c r="AC10" s="126">
        <v>12</v>
      </c>
      <c r="AD10" s="128" t="b">
        <v>1</v>
      </c>
      <c r="AE10" s="115" t="s">
        <v>81</v>
      </c>
      <c r="AF10" s="115" t="s">
        <v>82</v>
      </c>
      <c r="AG10" s="115"/>
      <c r="AH10" s="115"/>
      <c r="AI10" s="115"/>
      <c r="AJ10" s="115"/>
    </row>
    <row r="11" spans="1:64">
      <c r="B11" s="115" t="s">
        <v>83</v>
      </c>
      <c r="C11" s="115" t="s">
        <v>84</v>
      </c>
      <c r="D11" s="115" t="s">
        <v>85</v>
      </c>
      <c r="E11" s="115" t="s">
        <v>86</v>
      </c>
      <c r="F11" s="115" t="s">
        <v>73</v>
      </c>
      <c r="G11" s="115" t="s">
        <v>80</v>
      </c>
      <c r="H11" s="115">
        <v>2030</v>
      </c>
      <c r="I11" s="122">
        <v>160</v>
      </c>
      <c r="J11" s="122">
        <v>5297.62</v>
      </c>
      <c r="K11" s="123">
        <v>6.2899999999999998E-2</v>
      </c>
      <c r="L11" s="121">
        <f t="shared" si="0"/>
        <v>333.22029799999996</v>
      </c>
      <c r="M11" s="124">
        <v>0.46101300000000001</v>
      </c>
      <c r="N11" s="121">
        <f t="shared" si="1"/>
        <v>2442.27168906</v>
      </c>
      <c r="O11" s="124">
        <v>7.9959490000000004</v>
      </c>
      <c r="P11" s="121">
        <f t="shared" si="2"/>
        <v>2664.4125085728019</v>
      </c>
      <c r="Q11" s="121">
        <f t="shared" si="3"/>
        <v>2553.3420988164007</v>
      </c>
      <c r="R11" s="122">
        <v>113.33</v>
      </c>
      <c r="S11" s="121">
        <f t="shared" si="4"/>
        <v>2666.6720988164006</v>
      </c>
      <c r="T11" s="125">
        <v>6234523.4699999997</v>
      </c>
      <c r="U11" s="125">
        <v>227225.26</v>
      </c>
      <c r="V11" s="125">
        <v>954917.93</v>
      </c>
      <c r="W11" s="126">
        <v>3</v>
      </c>
      <c r="X11" s="127" t="b">
        <v>0</v>
      </c>
      <c r="Y11" s="127" t="b">
        <v>1</v>
      </c>
      <c r="Z11" s="115" t="s">
        <v>65</v>
      </c>
      <c r="AA11" s="115" t="s">
        <v>66</v>
      </c>
      <c r="AB11" s="126">
        <v>18</v>
      </c>
      <c r="AC11" s="126">
        <v>2</v>
      </c>
      <c r="AD11" s="128" t="b">
        <v>1</v>
      </c>
      <c r="AE11" s="115" t="s">
        <v>87</v>
      </c>
      <c r="AF11" s="115" t="s">
        <v>88</v>
      </c>
      <c r="AG11" s="115"/>
      <c r="AH11" s="115"/>
      <c r="AI11" s="115"/>
      <c r="AJ11" s="115"/>
    </row>
    <row r="12" spans="1:64">
      <c r="B12" s="115" t="s">
        <v>89</v>
      </c>
      <c r="C12" s="115" t="s">
        <v>90</v>
      </c>
      <c r="D12" s="115" t="s">
        <v>91</v>
      </c>
      <c r="E12" s="115" t="s">
        <v>92</v>
      </c>
      <c r="F12" s="115" t="s">
        <v>47</v>
      </c>
      <c r="G12" s="115" t="s">
        <v>48</v>
      </c>
      <c r="H12" s="115">
        <v>2030</v>
      </c>
      <c r="I12" s="122">
        <v>180</v>
      </c>
      <c r="J12" s="122">
        <v>7870.37</v>
      </c>
      <c r="K12" s="123">
        <v>6.7799999999999999E-2</v>
      </c>
      <c r="L12" s="121">
        <f t="shared" si="0"/>
        <v>533.611086</v>
      </c>
      <c r="M12" s="124">
        <v>0.47621799999999997</v>
      </c>
      <c r="N12" s="121">
        <f t="shared" si="1"/>
        <v>3748.0118606599999</v>
      </c>
      <c r="O12" s="124">
        <v>7.5560619999999998</v>
      </c>
      <c r="P12" s="121">
        <f t="shared" si="2"/>
        <v>4031.998449703332</v>
      </c>
      <c r="Q12" s="121">
        <f t="shared" si="3"/>
        <v>3890.0051551816659</v>
      </c>
      <c r="R12" s="122">
        <v>110</v>
      </c>
      <c r="S12" s="121">
        <f t="shared" si="4"/>
        <v>4000.0051551816659</v>
      </c>
      <c r="T12" s="125">
        <v>3403940.58</v>
      </c>
      <c r="U12" s="125">
        <v>856611.76</v>
      </c>
      <c r="V12" s="125">
        <v>5183892.1100000003</v>
      </c>
      <c r="W12" s="126">
        <v>3</v>
      </c>
      <c r="X12" s="127" t="b">
        <v>0</v>
      </c>
      <c r="Y12" s="127" t="b">
        <v>1</v>
      </c>
      <c r="Z12" s="115" t="s">
        <v>65</v>
      </c>
      <c r="AA12" s="115" t="s">
        <v>66</v>
      </c>
      <c r="AB12" s="126">
        <v>18</v>
      </c>
      <c r="AC12" s="126">
        <v>2</v>
      </c>
      <c r="AD12" s="128" t="b">
        <v>1</v>
      </c>
      <c r="AE12" s="115" t="s">
        <v>93</v>
      </c>
      <c r="AF12" s="115" t="s">
        <v>94</v>
      </c>
      <c r="AG12" s="115"/>
      <c r="AH12" s="115"/>
      <c r="AI12" s="115"/>
      <c r="AJ12" s="115"/>
    </row>
    <row r="13" spans="1:64">
      <c r="B13" s="115" t="s">
        <v>95</v>
      </c>
      <c r="C13" s="115" t="s">
        <v>96</v>
      </c>
      <c r="D13" s="115" t="s">
        <v>97</v>
      </c>
      <c r="E13" s="115" t="s">
        <v>98</v>
      </c>
      <c r="F13" s="115" t="s">
        <v>47</v>
      </c>
      <c r="G13" s="115" t="s">
        <v>48</v>
      </c>
      <c r="H13" s="115">
        <v>2027</v>
      </c>
      <c r="I13" s="122">
        <v>160</v>
      </c>
      <c r="J13" s="122">
        <v>8666.67</v>
      </c>
      <c r="K13" s="123">
        <v>3.6900000000000002E-2</v>
      </c>
      <c r="L13" s="121">
        <f t="shared" si="0"/>
        <v>319.80012300000004</v>
      </c>
      <c r="M13" s="124">
        <v>0.34579700000000002</v>
      </c>
      <c r="N13" s="121">
        <f t="shared" si="1"/>
        <v>2996.9084859900004</v>
      </c>
      <c r="O13" s="124">
        <v>10.040932</v>
      </c>
      <c r="P13" s="121">
        <f t="shared" si="2"/>
        <v>3211.0912886346364</v>
      </c>
      <c r="Q13" s="121">
        <f t="shared" si="3"/>
        <v>3103.9998873123186</v>
      </c>
      <c r="R13" s="122">
        <v>96</v>
      </c>
      <c r="S13" s="121">
        <f t="shared" si="4"/>
        <v>3199.9998873123186</v>
      </c>
      <c r="T13" s="125">
        <v>1245751.44</v>
      </c>
      <c r="U13" s="125">
        <v>329171.90000000002</v>
      </c>
      <c r="V13" s="125">
        <v>6225076.6500000004</v>
      </c>
      <c r="W13" s="126">
        <v>2</v>
      </c>
      <c r="X13" s="127" t="b">
        <v>1</v>
      </c>
      <c r="Y13" s="127" t="b">
        <v>0</v>
      </c>
      <c r="Z13" s="115" t="s">
        <v>65</v>
      </c>
      <c r="AA13" s="115" t="s">
        <v>66</v>
      </c>
      <c r="AB13" s="126">
        <v>18</v>
      </c>
      <c r="AC13" s="126">
        <v>2</v>
      </c>
      <c r="AD13" s="128" t="b">
        <v>0</v>
      </c>
      <c r="AE13" s="115" t="s">
        <v>99</v>
      </c>
      <c r="AF13" s="115" t="s">
        <v>100</v>
      </c>
      <c r="AG13" s="115"/>
      <c r="AH13" s="115"/>
      <c r="AI13" s="115"/>
      <c r="AJ13" s="115"/>
    </row>
    <row r="14" spans="1:64">
      <c r="B14" s="115" t="s">
        <v>101</v>
      </c>
      <c r="C14" s="115" t="s">
        <v>102</v>
      </c>
      <c r="D14" s="115" t="s">
        <v>62</v>
      </c>
      <c r="E14" s="115" t="s">
        <v>103</v>
      </c>
      <c r="F14" s="115" t="s">
        <v>104</v>
      </c>
      <c r="G14" s="115" t="s">
        <v>64</v>
      </c>
      <c r="H14" s="115">
        <v>2028</v>
      </c>
      <c r="I14" s="122">
        <v>175</v>
      </c>
      <c r="J14" s="122">
        <v>6015.62</v>
      </c>
      <c r="K14" s="123">
        <v>8.5600000000000009E-2</v>
      </c>
      <c r="L14" s="121">
        <f t="shared" si="0"/>
        <v>514.93707200000006</v>
      </c>
      <c r="M14" s="124">
        <v>0.67860699999999996</v>
      </c>
      <c r="N14" s="121">
        <f t="shared" si="1"/>
        <v>4082.2418413399996</v>
      </c>
      <c r="O14" s="124">
        <v>8.3424870000000002</v>
      </c>
      <c r="P14" s="121">
        <f t="shared" si="2"/>
        <v>4295.8558289780649</v>
      </c>
      <c r="Q14" s="121">
        <f t="shared" si="3"/>
        <v>4189.048835159032</v>
      </c>
      <c r="R14" s="122">
        <v>185.94</v>
      </c>
      <c r="S14" s="121">
        <f t="shared" si="4"/>
        <v>4374.9888351590316</v>
      </c>
      <c r="T14" s="125">
        <v>6861903.29</v>
      </c>
      <c r="U14" s="125">
        <v>477147.17</v>
      </c>
      <c r="V14" s="125">
        <v>2285949.54</v>
      </c>
      <c r="W14" s="126">
        <v>2</v>
      </c>
      <c r="X14" s="127" t="b">
        <v>1</v>
      </c>
      <c r="Y14" s="127" t="b">
        <v>0</v>
      </c>
      <c r="Z14" s="115" t="s">
        <v>105</v>
      </c>
      <c r="AA14" s="115" t="s">
        <v>106</v>
      </c>
      <c r="AB14" s="126">
        <v>45</v>
      </c>
      <c r="AC14" s="126">
        <v>2</v>
      </c>
      <c r="AD14" s="128" t="b">
        <v>0</v>
      </c>
      <c r="AE14" s="115" t="s">
        <v>67</v>
      </c>
      <c r="AF14" s="115" t="s">
        <v>68</v>
      </c>
      <c r="AG14" s="115"/>
      <c r="AH14" s="115"/>
      <c r="AI14" s="115"/>
      <c r="AJ14" s="115"/>
    </row>
    <row r="15" spans="1:64">
      <c r="B15" s="115" t="s">
        <v>107</v>
      </c>
      <c r="C15" s="115" t="s">
        <v>108</v>
      </c>
      <c r="D15" s="115" t="s">
        <v>109</v>
      </c>
      <c r="E15" s="115" t="s">
        <v>110</v>
      </c>
      <c r="F15" s="115" t="s">
        <v>47</v>
      </c>
      <c r="G15" s="115" t="s">
        <v>111</v>
      </c>
      <c r="H15" s="115">
        <v>2026</v>
      </c>
      <c r="I15" s="122">
        <v>250</v>
      </c>
      <c r="J15" s="122">
        <v>46031.75</v>
      </c>
      <c r="K15" s="123">
        <v>0.03</v>
      </c>
      <c r="L15" s="121">
        <f t="shared" si="0"/>
        <v>1380.9524999999999</v>
      </c>
      <c r="M15" s="124">
        <v>0.14887400000000001</v>
      </c>
      <c r="N15" s="121">
        <f t="shared" si="1"/>
        <v>6852.9307495000003</v>
      </c>
      <c r="O15" s="124">
        <v>5.2013319999999998</v>
      </c>
      <c r="P15" s="121">
        <f t="shared" si="2"/>
        <v>7182.7924287299993</v>
      </c>
      <c r="Q15" s="121">
        <f t="shared" si="3"/>
        <v>7017.8615891150002</v>
      </c>
      <c r="R15" s="122">
        <v>125</v>
      </c>
      <c r="S15" s="121">
        <f t="shared" si="4"/>
        <v>7142.8615891150002</v>
      </c>
      <c r="T15" s="125">
        <v>2830244.82</v>
      </c>
      <c r="U15" s="125">
        <v>2676521.12</v>
      </c>
      <c r="V15" s="125">
        <v>2778948.35</v>
      </c>
      <c r="W15" s="126">
        <v>2</v>
      </c>
      <c r="X15" s="127" t="b">
        <v>1</v>
      </c>
      <c r="Y15" s="127" t="b">
        <v>0</v>
      </c>
      <c r="Z15" s="115" t="s">
        <v>105</v>
      </c>
      <c r="AA15" s="115" t="s">
        <v>106</v>
      </c>
      <c r="AB15" s="126">
        <v>45</v>
      </c>
      <c r="AC15" s="126">
        <v>2</v>
      </c>
      <c r="AD15" s="128" t="b">
        <v>0</v>
      </c>
      <c r="AE15" s="115" t="s">
        <v>112</v>
      </c>
      <c r="AF15" s="115" t="s">
        <v>113</v>
      </c>
      <c r="AG15" s="115"/>
      <c r="AH15" s="115"/>
      <c r="AI15" s="115"/>
      <c r="AJ15" s="115"/>
    </row>
    <row r="16" spans="1:64">
      <c r="B16" s="115" t="s">
        <v>114</v>
      </c>
      <c r="C16" s="115" t="s">
        <v>115</v>
      </c>
      <c r="D16" s="115" t="s">
        <v>55</v>
      </c>
      <c r="E16" s="115" t="s">
        <v>116</v>
      </c>
      <c r="F16" s="115" t="s">
        <v>73</v>
      </c>
      <c r="G16" s="115" t="s">
        <v>48</v>
      </c>
      <c r="H16" s="115">
        <v>2045</v>
      </c>
      <c r="I16" s="122">
        <v>90</v>
      </c>
      <c r="J16" s="122">
        <v>2222.2199999999998</v>
      </c>
      <c r="K16" s="123">
        <v>0.1636</v>
      </c>
      <c r="L16" s="121">
        <f t="shared" si="0"/>
        <v>363.55519199999998</v>
      </c>
      <c r="M16" s="124">
        <v>0.84113599999999999</v>
      </c>
      <c r="N16" s="121">
        <f t="shared" si="1"/>
        <v>1869.1892419199999</v>
      </c>
      <c r="O16" s="124">
        <v>5.5308890000000002</v>
      </c>
      <c r="P16" s="121">
        <f t="shared" si="2"/>
        <v>2010.783412325688</v>
      </c>
      <c r="Q16" s="121">
        <f t="shared" si="3"/>
        <v>1939.9863271228439</v>
      </c>
      <c r="R16" s="122">
        <v>60</v>
      </c>
      <c r="S16" s="121">
        <f t="shared" si="4"/>
        <v>1999.9863271228439</v>
      </c>
      <c r="T16" s="125">
        <v>474576.65</v>
      </c>
      <c r="U16" s="125">
        <v>136800.06</v>
      </c>
      <c r="V16" s="125">
        <v>4944178.84</v>
      </c>
      <c r="W16" s="126">
        <v>3</v>
      </c>
      <c r="X16" s="127" t="b">
        <v>0</v>
      </c>
      <c r="Y16" s="127" t="b">
        <v>1</v>
      </c>
      <c r="Z16" s="115" t="s">
        <v>49</v>
      </c>
      <c r="AA16" s="115" t="s">
        <v>50</v>
      </c>
      <c r="AB16" s="126">
        <v>5</v>
      </c>
      <c r="AC16" s="126">
        <v>35</v>
      </c>
      <c r="AD16" s="128" t="b">
        <v>1</v>
      </c>
      <c r="AE16" s="115" t="s">
        <v>58</v>
      </c>
      <c r="AF16" s="115" t="s">
        <v>59</v>
      </c>
      <c r="AG16" s="115"/>
      <c r="AH16" s="115"/>
      <c r="AI16" s="115"/>
      <c r="AJ16" s="115"/>
    </row>
    <row r="17" spans="2:36">
      <c r="B17" s="115" t="s">
        <v>117</v>
      </c>
      <c r="C17" s="115" t="s">
        <v>118</v>
      </c>
      <c r="D17" s="115" t="s">
        <v>55</v>
      </c>
      <c r="E17" s="115" t="s">
        <v>119</v>
      </c>
      <c r="F17" s="115" t="s">
        <v>47</v>
      </c>
      <c r="G17" s="115" t="s">
        <v>48</v>
      </c>
      <c r="H17" s="115">
        <v>2038</v>
      </c>
      <c r="I17" s="122">
        <v>80</v>
      </c>
      <c r="J17" s="122">
        <v>1955.56</v>
      </c>
      <c r="K17" s="123">
        <v>0.1653</v>
      </c>
      <c r="L17" s="121">
        <f t="shared" si="0"/>
        <v>323.25406800000002</v>
      </c>
      <c r="M17" s="124">
        <v>0.84480100000000002</v>
      </c>
      <c r="N17" s="121">
        <f t="shared" si="1"/>
        <v>1652.05904356</v>
      </c>
      <c r="O17" s="124">
        <v>5.5311370000000002</v>
      </c>
      <c r="P17" s="121">
        <f t="shared" si="2"/>
        <v>1787.9625359153163</v>
      </c>
      <c r="Q17" s="121">
        <f t="shared" si="3"/>
        <v>1720.0107897376581</v>
      </c>
      <c r="R17" s="122">
        <v>57.78</v>
      </c>
      <c r="S17" s="121">
        <f t="shared" si="4"/>
        <v>1777.7907897376581</v>
      </c>
      <c r="T17" s="125">
        <v>417627.45</v>
      </c>
      <c r="U17" s="125">
        <v>120384.05</v>
      </c>
      <c r="V17" s="125">
        <v>4350877.38</v>
      </c>
      <c r="W17" s="126">
        <v>3</v>
      </c>
      <c r="X17" s="127" t="b">
        <v>0</v>
      </c>
      <c r="Y17" s="127" t="b">
        <v>1</v>
      </c>
      <c r="Z17" s="115" t="s">
        <v>49</v>
      </c>
      <c r="AA17" s="115" t="s">
        <v>50</v>
      </c>
      <c r="AB17" s="126">
        <v>5</v>
      </c>
      <c r="AC17" s="126">
        <v>35</v>
      </c>
      <c r="AD17" s="128" t="b">
        <v>1</v>
      </c>
      <c r="AE17" s="115" t="s">
        <v>58</v>
      </c>
      <c r="AF17" s="115" t="s">
        <v>59</v>
      </c>
      <c r="AG17" s="115"/>
      <c r="AH17" s="115"/>
      <c r="AI17" s="115"/>
      <c r="AJ17" s="115"/>
    </row>
    <row r="18" spans="2:36">
      <c r="B18" s="115" t="s">
        <v>120</v>
      </c>
      <c r="C18" s="115" t="s">
        <v>121</v>
      </c>
      <c r="D18" s="115" t="s">
        <v>55</v>
      </c>
      <c r="E18" s="115" t="s">
        <v>46</v>
      </c>
      <c r="F18" s="115" t="s">
        <v>47</v>
      </c>
      <c r="G18" s="115" t="s">
        <v>48</v>
      </c>
      <c r="H18" s="115">
        <v>2040</v>
      </c>
      <c r="I18" s="122">
        <v>75</v>
      </c>
      <c r="J18" s="122">
        <v>1866.67</v>
      </c>
      <c r="K18" s="123">
        <v>0.1623</v>
      </c>
      <c r="L18" s="121">
        <f t="shared" si="0"/>
        <v>302.96054100000003</v>
      </c>
      <c r="M18" s="124">
        <v>0.84182000000000001</v>
      </c>
      <c r="N18" s="121">
        <f t="shared" si="1"/>
        <v>1571.4001394000002</v>
      </c>
      <c r="O18" s="124">
        <v>5.5132029999999999</v>
      </c>
      <c r="P18" s="121">
        <f t="shared" si="2"/>
        <v>1670.2829635228231</v>
      </c>
      <c r="Q18" s="121">
        <f t="shared" si="3"/>
        <v>1620.8415514614117</v>
      </c>
      <c r="R18" s="122">
        <v>45.83</v>
      </c>
      <c r="S18" s="121">
        <f t="shared" si="4"/>
        <v>1666.6715514614116</v>
      </c>
      <c r="T18" s="125">
        <v>398644.39</v>
      </c>
      <c r="U18" s="125">
        <v>114912.05</v>
      </c>
      <c r="V18" s="125">
        <v>4153110.23</v>
      </c>
      <c r="W18" s="126">
        <v>3</v>
      </c>
      <c r="X18" s="127" t="b">
        <v>0</v>
      </c>
      <c r="Y18" s="127" t="b">
        <v>1</v>
      </c>
      <c r="Z18" s="115" t="s">
        <v>49</v>
      </c>
      <c r="AA18" s="115" t="s">
        <v>50</v>
      </c>
      <c r="AB18" s="126">
        <v>5</v>
      </c>
      <c r="AC18" s="126">
        <v>35</v>
      </c>
      <c r="AD18" s="128" t="b">
        <v>1</v>
      </c>
      <c r="AE18" s="115" t="s">
        <v>58</v>
      </c>
      <c r="AF18" s="115" t="s">
        <v>59</v>
      </c>
      <c r="AG18" s="115"/>
      <c r="AH18" s="115"/>
      <c r="AI18" s="115"/>
      <c r="AJ18" s="115"/>
    </row>
    <row r="19" spans="2:36">
      <c r="B19" s="115" t="s">
        <v>122</v>
      </c>
      <c r="C19" s="115" t="s">
        <v>123</v>
      </c>
      <c r="D19" s="115" t="s">
        <v>55</v>
      </c>
      <c r="E19" s="115" t="s">
        <v>56</v>
      </c>
      <c r="F19" s="115" t="s">
        <v>57</v>
      </c>
      <c r="G19" s="115" t="s">
        <v>48</v>
      </c>
      <c r="H19" s="115">
        <v>2047</v>
      </c>
      <c r="I19" s="122">
        <v>70</v>
      </c>
      <c r="J19" s="122">
        <v>1600</v>
      </c>
      <c r="K19" s="123">
        <v>0.17679999999999998</v>
      </c>
      <c r="L19" s="121">
        <f t="shared" si="0"/>
        <v>282.88</v>
      </c>
      <c r="M19" s="124">
        <v>0.91146199999999999</v>
      </c>
      <c r="N19" s="121">
        <f t="shared" si="1"/>
        <v>1458.3391999999999</v>
      </c>
      <c r="O19" s="124">
        <v>5.5127259999999998</v>
      </c>
      <c r="P19" s="121">
        <f t="shared" si="2"/>
        <v>1559.43993088</v>
      </c>
      <c r="Q19" s="121">
        <f t="shared" si="3"/>
        <v>1508.8895654399998</v>
      </c>
      <c r="R19" s="122">
        <v>46.67</v>
      </c>
      <c r="S19" s="121">
        <f t="shared" si="4"/>
        <v>1555.5595654399999</v>
      </c>
      <c r="T19" s="125">
        <v>341695.19</v>
      </c>
      <c r="U19" s="125">
        <v>98496.04</v>
      </c>
      <c r="V19" s="125">
        <v>3559808.77</v>
      </c>
      <c r="W19" s="126">
        <v>3</v>
      </c>
      <c r="X19" s="127" t="b">
        <v>0</v>
      </c>
      <c r="Y19" s="127" t="b">
        <v>1</v>
      </c>
      <c r="Z19" s="115" t="s">
        <v>49</v>
      </c>
      <c r="AA19" s="115" t="s">
        <v>50</v>
      </c>
      <c r="AB19" s="126">
        <v>5</v>
      </c>
      <c r="AC19" s="126">
        <v>35</v>
      </c>
      <c r="AD19" s="128" t="b">
        <v>1</v>
      </c>
      <c r="AE19" s="115" t="s">
        <v>58</v>
      </c>
      <c r="AF19" s="115" t="s">
        <v>59</v>
      </c>
      <c r="AG19" s="115"/>
      <c r="AH19" s="115"/>
      <c r="AI19" s="115"/>
      <c r="AJ19" s="115"/>
    </row>
    <row r="20" spans="2:36">
      <c r="B20" s="115" t="s">
        <v>124</v>
      </c>
      <c r="C20" s="115" t="s">
        <v>125</v>
      </c>
      <c r="D20" s="115" t="s">
        <v>55</v>
      </c>
      <c r="E20" s="115" t="s">
        <v>63</v>
      </c>
      <c r="F20" s="115" t="s">
        <v>47</v>
      </c>
      <c r="G20" s="115" t="s">
        <v>48</v>
      </c>
      <c r="H20" s="115">
        <v>2050</v>
      </c>
      <c r="I20" s="122">
        <v>75</v>
      </c>
      <c r="J20" s="122">
        <v>1600</v>
      </c>
      <c r="K20" s="123">
        <v>0.18940000000000001</v>
      </c>
      <c r="L20" s="121">
        <f t="shared" si="0"/>
        <v>303.04000000000002</v>
      </c>
      <c r="M20" s="124">
        <v>0.97102500000000003</v>
      </c>
      <c r="N20" s="121">
        <f t="shared" si="1"/>
        <v>1553.64</v>
      </c>
      <c r="O20" s="124">
        <v>5.5153119999999998</v>
      </c>
      <c r="P20" s="121">
        <f t="shared" si="2"/>
        <v>1671.3601484800001</v>
      </c>
      <c r="Q20" s="121">
        <f t="shared" si="3"/>
        <v>1612.5000742400002</v>
      </c>
      <c r="R20" s="122">
        <v>54.17</v>
      </c>
      <c r="S20" s="121">
        <f t="shared" si="4"/>
        <v>1666.6700742400003</v>
      </c>
      <c r="T20" s="125">
        <v>341695.19</v>
      </c>
      <c r="U20" s="125">
        <v>98496.04</v>
      </c>
      <c r="V20" s="125">
        <v>3559808.77</v>
      </c>
      <c r="W20" s="126">
        <v>3</v>
      </c>
      <c r="X20" s="127" t="b">
        <v>0</v>
      </c>
      <c r="Y20" s="127" t="b">
        <v>1</v>
      </c>
      <c r="Z20" s="115" t="s">
        <v>49</v>
      </c>
      <c r="AA20" s="115" t="s">
        <v>50</v>
      </c>
      <c r="AB20" s="126">
        <v>5</v>
      </c>
      <c r="AC20" s="126">
        <v>35</v>
      </c>
      <c r="AD20" s="128" t="b">
        <v>1</v>
      </c>
      <c r="AE20" s="115" t="s">
        <v>58</v>
      </c>
      <c r="AF20" s="115" t="s">
        <v>59</v>
      </c>
      <c r="AG20" s="115"/>
      <c r="AH20" s="115"/>
      <c r="AI20" s="115"/>
      <c r="AJ20" s="115"/>
    </row>
    <row r="21" spans="2:36">
      <c r="B21" s="115" t="s">
        <v>126</v>
      </c>
      <c r="C21" s="115" t="s">
        <v>127</v>
      </c>
      <c r="D21" s="115" t="s">
        <v>62</v>
      </c>
      <c r="E21" s="115" t="s">
        <v>72</v>
      </c>
      <c r="F21" s="115" t="s">
        <v>73</v>
      </c>
      <c r="G21" s="115" t="s">
        <v>64</v>
      </c>
      <c r="H21" s="115">
        <v>2030</v>
      </c>
      <c r="I21" s="122">
        <v>33.880000000000003</v>
      </c>
      <c r="J21" s="122">
        <v>3906.25</v>
      </c>
      <c r="K21" s="123">
        <v>3.61E-2</v>
      </c>
      <c r="L21" s="121">
        <f t="shared" si="0"/>
        <v>141.015625</v>
      </c>
      <c r="M21" s="124">
        <v>0.20150000000000001</v>
      </c>
      <c r="N21" s="121">
        <f t="shared" si="1"/>
        <v>787.109375</v>
      </c>
      <c r="O21" s="124">
        <v>5.980499</v>
      </c>
      <c r="P21" s="121">
        <f t="shared" si="2"/>
        <v>843.34380429687496</v>
      </c>
      <c r="Q21" s="121">
        <f t="shared" si="3"/>
        <v>815.22658964843754</v>
      </c>
      <c r="R21" s="122">
        <v>31.76</v>
      </c>
      <c r="S21" s="121">
        <f t="shared" si="4"/>
        <v>846.98658964843753</v>
      </c>
      <c r="T21" s="125">
        <v>4455781.3600000003</v>
      </c>
      <c r="U21" s="125">
        <v>309835.83</v>
      </c>
      <c r="V21" s="125">
        <v>1484382.82</v>
      </c>
      <c r="W21" s="126">
        <v>2</v>
      </c>
      <c r="X21" s="127" t="b">
        <v>1</v>
      </c>
      <c r="Y21" s="127" t="b">
        <v>0</v>
      </c>
      <c r="Z21" s="115" t="s">
        <v>105</v>
      </c>
      <c r="AA21" s="115" t="s">
        <v>106</v>
      </c>
      <c r="AB21" s="126">
        <v>45</v>
      </c>
      <c r="AC21" s="126">
        <v>2</v>
      </c>
      <c r="AD21" s="128" t="b">
        <v>0</v>
      </c>
      <c r="AE21" s="115" t="s">
        <v>67</v>
      </c>
      <c r="AF21" s="115" t="s">
        <v>68</v>
      </c>
      <c r="AG21" s="115"/>
      <c r="AH21" s="115"/>
      <c r="AI21" s="115"/>
      <c r="AJ21" s="115"/>
    </row>
    <row r="22" spans="2:36">
      <c r="B22" s="115" t="s">
        <v>128</v>
      </c>
      <c r="C22" s="115" t="s">
        <v>129</v>
      </c>
      <c r="D22" s="115" t="s">
        <v>62</v>
      </c>
      <c r="E22" s="115" t="s">
        <v>79</v>
      </c>
      <c r="F22" s="115" t="s">
        <v>47</v>
      </c>
      <c r="G22" s="115" t="s">
        <v>64</v>
      </c>
      <c r="H22" s="115">
        <v>2027</v>
      </c>
      <c r="I22" s="122">
        <v>60.64</v>
      </c>
      <c r="J22" s="122">
        <v>781.25</v>
      </c>
      <c r="K22" s="123">
        <v>0.22829999999999998</v>
      </c>
      <c r="L22" s="121">
        <f t="shared" si="0"/>
        <v>178.35937499999997</v>
      </c>
      <c r="M22" s="124">
        <v>1.8153600000000001</v>
      </c>
      <c r="N22" s="121">
        <f t="shared" si="1"/>
        <v>1418.25</v>
      </c>
      <c r="O22" s="124">
        <v>8.3677390000000003</v>
      </c>
      <c r="P22" s="121">
        <f t="shared" si="2"/>
        <v>1492.4646982031247</v>
      </c>
      <c r="Q22" s="121">
        <f t="shared" si="3"/>
        <v>1455.3573491015622</v>
      </c>
      <c r="R22" s="122">
        <v>60.64</v>
      </c>
      <c r="S22" s="121">
        <f t="shared" si="4"/>
        <v>1515.9973491015623</v>
      </c>
      <c r="T22" s="125">
        <v>891156.27</v>
      </c>
      <c r="U22" s="125">
        <v>61967.17</v>
      </c>
      <c r="V22" s="125">
        <v>296876.56</v>
      </c>
      <c r="W22" s="126">
        <v>3</v>
      </c>
      <c r="X22" s="127" t="b">
        <v>0</v>
      </c>
      <c r="Y22" s="127" t="b">
        <v>1</v>
      </c>
      <c r="Z22" s="115" t="s">
        <v>65</v>
      </c>
      <c r="AA22" s="115" t="s">
        <v>66</v>
      </c>
      <c r="AB22" s="126">
        <v>18</v>
      </c>
      <c r="AC22" s="126">
        <v>2</v>
      </c>
      <c r="AD22" s="128" t="b">
        <v>0</v>
      </c>
      <c r="AE22" s="115" t="s">
        <v>67</v>
      </c>
      <c r="AF22" s="115" t="s">
        <v>68</v>
      </c>
      <c r="AG22" s="115"/>
      <c r="AH22" s="115"/>
      <c r="AI22" s="115"/>
      <c r="AJ22" s="115"/>
    </row>
    <row r="23" spans="2:36">
      <c r="B23" s="115" t="s">
        <v>130</v>
      </c>
      <c r="C23" s="115" t="s">
        <v>131</v>
      </c>
      <c r="D23" s="115" t="s">
        <v>62</v>
      </c>
      <c r="E23" s="115" t="s">
        <v>86</v>
      </c>
      <c r="F23" s="115" t="s">
        <v>73</v>
      </c>
      <c r="G23" s="115" t="s">
        <v>64</v>
      </c>
      <c r="H23" s="115">
        <v>2029</v>
      </c>
      <c r="I23" s="122">
        <v>55</v>
      </c>
      <c r="J23" s="122">
        <v>781.25</v>
      </c>
      <c r="K23" s="123">
        <v>0.20710000000000001</v>
      </c>
      <c r="L23" s="121">
        <f t="shared" si="0"/>
        <v>161.796875</v>
      </c>
      <c r="M23" s="124">
        <v>1.6371709999999999</v>
      </c>
      <c r="N23" s="121">
        <f t="shared" si="1"/>
        <v>1279.03984375</v>
      </c>
      <c r="O23" s="124">
        <v>8.3688500000000001</v>
      </c>
      <c r="P23" s="121">
        <f t="shared" si="2"/>
        <v>1354.05377734375</v>
      </c>
      <c r="Q23" s="121">
        <f t="shared" si="3"/>
        <v>1316.5468105468749</v>
      </c>
      <c r="R23" s="122">
        <v>58.44</v>
      </c>
      <c r="S23" s="121">
        <f t="shared" si="4"/>
        <v>1374.9868105468749</v>
      </c>
      <c r="T23" s="125">
        <v>891156.27</v>
      </c>
      <c r="U23" s="125">
        <v>61967.17</v>
      </c>
      <c r="V23" s="125">
        <v>296876.56</v>
      </c>
      <c r="W23" s="126">
        <v>3</v>
      </c>
      <c r="X23" s="127" t="b">
        <v>0</v>
      </c>
      <c r="Y23" s="127" t="b">
        <v>1</v>
      </c>
      <c r="Z23" s="115" t="s">
        <v>49</v>
      </c>
      <c r="AA23" s="115" t="s">
        <v>66</v>
      </c>
      <c r="AB23" s="126">
        <v>18</v>
      </c>
      <c r="AC23" s="126">
        <v>2</v>
      </c>
      <c r="AD23" s="128" t="b">
        <v>0</v>
      </c>
      <c r="AE23" s="115" t="s">
        <v>67</v>
      </c>
      <c r="AF23" s="115" t="s">
        <v>68</v>
      </c>
      <c r="AG23" s="115"/>
      <c r="AH23" s="115"/>
      <c r="AI23" s="115"/>
      <c r="AJ23" s="115"/>
    </row>
    <row r="24" spans="2:36">
      <c r="B24" s="115" t="s">
        <v>132</v>
      </c>
      <c r="C24" s="115" t="s">
        <v>133</v>
      </c>
      <c r="D24" s="115" t="s">
        <v>62</v>
      </c>
      <c r="E24" s="115" t="s">
        <v>92</v>
      </c>
      <c r="F24" s="115" t="s">
        <v>47</v>
      </c>
      <c r="G24" s="115" t="s">
        <v>64</v>
      </c>
      <c r="H24" s="115">
        <v>2032</v>
      </c>
      <c r="I24" s="122">
        <v>52</v>
      </c>
      <c r="J24" s="122">
        <v>781.25</v>
      </c>
      <c r="K24" s="123">
        <v>0.19579999999999997</v>
      </c>
      <c r="L24" s="121">
        <f t="shared" si="0"/>
        <v>152.96874999999997</v>
      </c>
      <c r="M24" s="124">
        <v>1.5511550000000001</v>
      </c>
      <c r="N24" s="121">
        <f t="shared" si="1"/>
        <v>1211.83984375</v>
      </c>
      <c r="O24" s="124">
        <v>8.437341</v>
      </c>
      <c r="P24" s="121">
        <f t="shared" si="2"/>
        <v>1290.6495060937498</v>
      </c>
      <c r="Q24" s="121">
        <f t="shared" si="3"/>
        <v>1251.2446749218748</v>
      </c>
      <c r="R24" s="122">
        <v>48.75</v>
      </c>
      <c r="S24" s="121">
        <f t="shared" si="4"/>
        <v>1299.9946749218748</v>
      </c>
      <c r="T24" s="125">
        <v>891156.27</v>
      </c>
      <c r="U24" s="125">
        <v>61967.17</v>
      </c>
      <c r="V24" s="125">
        <v>296876.56</v>
      </c>
      <c r="W24" s="126">
        <v>3</v>
      </c>
      <c r="X24" s="127" t="b">
        <v>0</v>
      </c>
      <c r="Y24" s="127" t="b">
        <v>1</v>
      </c>
      <c r="Z24" s="115" t="s">
        <v>49</v>
      </c>
      <c r="AA24" s="115" t="s">
        <v>66</v>
      </c>
      <c r="AB24" s="126">
        <v>18</v>
      </c>
      <c r="AC24" s="126">
        <v>2</v>
      </c>
      <c r="AD24" s="128" t="b">
        <v>0</v>
      </c>
      <c r="AE24" s="115" t="s">
        <v>67</v>
      </c>
      <c r="AF24" s="115" t="s">
        <v>68</v>
      </c>
      <c r="AG24" s="115"/>
      <c r="AH24" s="115"/>
      <c r="AI24" s="115"/>
      <c r="AJ24" s="115"/>
    </row>
    <row r="25" spans="2:36">
      <c r="B25" s="115" t="s">
        <v>134</v>
      </c>
      <c r="C25" s="115" t="s">
        <v>135</v>
      </c>
      <c r="D25" s="115" t="s">
        <v>62</v>
      </c>
      <c r="E25" s="115" t="s">
        <v>98</v>
      </c>
      <c r="F25" s="115" t="s">
        <v>47</v>
      </c>
      <c r="G25" s="115" t="s">
        <v>64</v>
      </c>
      <c r="H25" s="115">
        <v>2035</v>
      </c>
      <c r="I25" s="122">
        <v>50.76</v>
      </c>
      <c r="J25" s="122">
        <v>781.25</v>
      </c>
      <c r="K25" s="123">
        <v>0.19109999999999999</v>
      </c>
      <c r="L25" s="121">
        <f t="shared" si="0"/>
        <v>149.296875</v>
      </c>
      <c r="M25" s="124">
        <v>1.505549</v>
      </c>
      <c r="N25" s="121">
        <f t="shared" si="1"/>
        <v>1176.21015625</v>
      </c>
      <c r="O25" s="124">
        <v>8.4411919999999991</v>
      </c>
      <c r="P25" s="121">
        <f t="shared" si="2"/>
        <v>1260.2435868749999</v>
      </c>
      <c r="Q25" s="121">
        <f t="shared" si="3"/>
        <v>1218.2268715625</v>
      </c>
      <c r="R25" s="122">
        <v>50.76</v>
      </c>
      <c r="S25" s="121">
        <f t="shared" si="4"/>
        <v>1268.9868715625</v>
      </c>
      <c r="T25" s="125">
        <v>891156.27</v>
      </c>
      <c r="U25" s="125">
        <v>61967.17</v>
      </c>
      <c r="V25" s="125">
        <v>296876.56</v>
      </c>
      <c r="W25" s="126">
        <v>3</v>
      </c>
      <c r="X25" s="127" t="b">
        <v>0</v>
      </c>
      <c r="Y25" s="127" t="b">
        <v>1</v>
      </c>
      <c r="Z25" s="115" t="s">
        <v>49</v>
      </c>
      <c r="AA25" s="115" t="s">
        <v>66</v>
      </c>
      <c r="AB25" s="126">
        <v>18</v>
      </c>
      <c r="AC25" s="126">
        <v>2</v>
      </c>
      <c r="AD25" s="128" t="b">
        <v>0</v>
      </c>
      <c r="AE25" s="115" t="s">
        <v>67</v>
      </c>
      <c r="AF25" s="115" t="s">
        <v>68</v>
      </c>
      <c r="AG25" s="115"/>
      <c r="AH25" s="115"/>
      <c r="AI25" s="115"/>
      <c r="AJ25" s="115"/>
    </row>
    <row r="26" spans="2:36">
      <c r="B26" s="115" t="s">
        <v>136</v>
      </c>
      <c r="C26" s="115" t="s">
        <v>137</v>
      </c>
      <c r="D26" s="115" t="s">
        <v>62</v>
      </c>
      <c r="E26" s="115" t="s">
        <v>103</v>
      </c>
      <c r="F26" s="115" t="s">
        <v>104</v>
      </c>
      <c r="G26" s="115" t="s">
        <v>64</v>
      </c>
      <c r="H26" s="115">
        <v>2026</v>
      </c>
      <c r="I26" s="122">
        <v>82.72</v>
      </c>
      <c r="J26" s="122">
        <v>250</v>
      </c>
      <c r="K26" s="123">
        <v>0.55000000000000004</v>
      </c>
      <c r="L26" s="121">
        <f t="shared" si="0"/>
        <v>137.5</v>
      </c>
      <c r="M26" s="124">
        <v>7.7184799999999996</v>
      </c>
      <c r="N26" s="121">
        <f t="shared" si="1"/>
        <v>1929.62</v>
      </c>
      <c r="O26" s="124">
        <v>14.768000000000001</v>
      </c>
      <c r="P26" s="121">
        <f t="shared" si="2"/>
        <v>2030.6000000000001</v>
      </c>
      <c r="Q26" s="121">
        <f t="shared" si="3"/>
        <v>1980.1100000000001</v>
      </c>
      <c r="R26" s="122">
        <v>87.89</v>
      </c>
      <c r="S26" s="121">
        <f t="shared" si="4"/>
        <v>2068</v>
      </c>
      <c r="T26" s="125">
        <v>89115.63</v>
      </c>
      <c r="U26" s="125">
        <v>6196.72</v>
      </c>
      <c r="V26" s="125">
        <v>29687.66</v>
      </c>
      <c r="W26" s="126">
        <v>4</v>
      </c>
      <c r="X26" s="127" t="b">
        <v>0</v>
      </c>
      <c r="Y26" s="127" t="b">
        <v>1</v>
      </c>
      <c r="Z26" s="115" t="s">
        <v>49</v>
      </c>
      <c r="AA26" s="115" t="s">
        <v>50</v>
      </c>
      <c r="AB26" s="126">
        <v>5</v>
      </c>
      <c r="AC26" s="126">
        <v>12</v>
      </c>
      <c r="AD26" s="128" t="b">
        <v>0</v>
      </c>
      <c r="AE26" s="115" t="s">
        <v>67</v>
      </c>
      <c r="AF26" s="115" t="s">
        <v>68</v>
      </c>
      <c r="AG26" s="115"/>
      <c r="AH26" s="115"/>
      <c r="AI26" s="115"/>
      <c r="AJ26" s="115"/>
    </row>
    <row r="27" spans="2:36">
      <c r="B27" s="115" t="s">
        <v>138</v>
      </c>
      <c r="C27" s="115" t="s">
        <v>139</v>
      </c>
      <c r="D27" s="115" t="s">
        <v>45</v>
      </c>
      <c r="E27" s="115" t="s">
        <v>110</v>
      </c>
      <c r="F27" s="115" t="s">
        <v>47</v>
      </c>
      <c r="G27" s="115" t="s">
        <v>48</v>
      </c>
      <c r="H27" s="115">
        <v>2036</v>
      </c>
      <c r="I27" s="122">
        <v>60</v>
      </c>
      <c r="J27" s="122">
        <v>765.55</v>
      </c>
      <c r="K27" s="123">
        <v>0.2036</v>
      </c>
      <c r="L27" s="121">
        <f t="shared" si="0"/>
        <v>155.86597999999998</v>
      </c>
      <c r="M27" s="124">
        <v>1.3393120000000001</v>
      </c>
      <c r="N27" s="121">
        <f t="shared" si="1"/>
        <v>1025.3103016</v>
      </c>
      <c r="O27" s="124">
        <v>7.1047029999999998</v>
      </c>
      <c r="P27" s="121">
        <f t="shared" si="2"/>
        <v>1107.3814957039399</v>
      </c>
      <c r="Q27" s="121">
        <f t="shared" si="3"/>
        <v>1066.3458986519699</v>
      </c>
      <c r="R27" s="122">
        <v>24.55</v>
      </c>
      <c r="S27" s="121">
        <f t="shared" si="4"/>
        <v>1090.8958986519699</v>
      </c>
      <c r="T27" s="125">
        <v>900382.99</v>
      </c>
      <c r="U27" s="125">
        <v>245122.75</v>
      </c>
      <c r="V27" s="125">
        <v>309039.71999999997</v>
      </c>
      <c r="W27" s="126">
        <v>3</v>
      </c>
      <c r="X27" s="127" t="b">
        <v>0</v>
      </c>
      <c r="Y27" s="127" t="b">
        <v>1</v>
      </c>
      <c r="Z27" s="115" t="s">
        <v>49</v>
      </c>
      <c r="AA27" s="115" t="s">
        <v>50</v>
      </c>
      <c r="AB27" s="126">
        <v>5</v>
      </c>
      <c r="AC27" s="126">
        <v>12</v>
      </c>
      <c r="AD27" s="128" t="b">
        <v>1</v>
      </c>
      <c r="AE27" s="115" t="s">
        <v>51</v>
      </c>
      <c r="AF27" s="115" t="s">
        <v>52</v>
      </c>
      <c r="AG27" s="115"/>
      <c r="AH27" s="115"/>
      <c r="AI27" s="115"/>
      <c r="AJ27" s="115"/>
    </row>
    <row r="28" spans="2:36">
      <c r="B28" s="115" t="s">
        <v>140</v>
      </c>
      <c r="C28" s="115" t="s">
        <v>141</v>
      </c>
      <c r="D28" s="115" t="s">
        <v>45</v>
      </c>
      <c r="E28" s="115" t="s">
        <v>116</v>
      </c>
      <c r="F28" s="115" t="s">
        <v>73</v>
      </c>
      <c r="G28" s="115" t="s">
        <v>48</v>
      </c>
      <c r="H28" s="115">
        <v>2040</v>
      </c>
      <c r="I28" s="122">
        <v>55</v>
      </c>
      <c r="J28" s="122">
        <v>717.7</v>
      </c>
      <c r="K28" s="123">
        <v>0.19899999999999998</v>
      </c>
      <c r="L28" s="121">
        <f t="shared" si="0"/>
        <v>142.82229999999998</v>
      </c>
      <c r="M28" s="124">
        <v>1.3021320000000001</v>
      </c>
      <c r="N28" s="121">
        <f t="shared" si="1"/>
        <v>934.54013640000005</v>
      </c>
      <c r="O28" s="124">
        <v>7.1100690000000002</v>
      </c>
      <c r="P28" s="121">
        <f t="shared" si="2"/>
        <v>1015.4764077386999</v>
      </c>
      <c r="Q28" s="121">
        <f t="shared" si="3"/>
        <v>975.00827206934991</v>
      </c>
      <c r="R28" s="122">
        <v>25</v>
      </c>
      <c r="S28" s="121">
        <f t="shared" si="4"/>
        <v>1000.0082720693499</v>
      </c>
      <c r="T28" s="125">
        <v>844109.05</v>
      </c>
      <c r="U28" s="125">
        <v>229802.58</v>
      </c>
      <c r="V28" s="125">
        <v>289724.74</v>
      </c>
      <c r="W28" s="126">
        <v>3</v>
      </c>
      <c r="X28" s="127" t="b">
        <v>0</v>
      </c>
      <c r="Y28" s="127" t="b">
        <v>1</v>
      </c>
      <c r="Z28" s="115" t="s">
        <v>49</v>
      </c>
      <c r="AA28" s="115" t="s">
        <v>50</v>
      </c>
      <c r="AB28" s="126">
        <v>5</v>
      </c>
      <c r="AC28" s="126">
        <v>12</v>
      </c>
      <c r="AD28" s="128" t="b">
        <v>1</v>
      </c>
      <c r="AE28" s="115" t="s">
        <v>51</v>
      </c>
      <c r="AF28" s="115" t="s">
        <v>52</v>
      </c>
      <c r="AG28" s="115"/>
      <c r="AH28" s="115"/>
      <c r="AI28" s="115"/>
      <c r="AJ28" s="115"/>
    </row>
    <row r="29" spans="2:36">
      <c r="B29" s="115" t="s">
        <v>142</v>
      </c>
      <c r="C29" s="115" t="s">
        <v>143</v>
      </c>
      <c r="D29" s="115" t="s">
        <v>45</v>
      </c>
      <c r="E29" s="115" t="s">
        <v>119</v>
      </c>
      <c r="F29" s="115" t="s">
        <v>47</v>
      </c>
      <c r="G29" s="115" t="s">
        <v>48</v>
      </c>
      <c r="H29" s="115">
        <v>2045</v>
      </c>
      <c r="I29" s="122">
        <v>55</v>
      </c>
      <c r="J29" s="122">
        <v>669.86</v>
      </c>
      <c r="K29" s="123">
        <v>0.21329999999999999</v>
      </c>
      <c r="L29" s="121">
        <f t="shared" si="0"/>
        <v>142.88113799999999</v>
      </c>
      <c r="M29" s="124">
        <v>1.3871849999999999</v>
      </c>
      <c r="N29" s="121">
        <f t="shared" si="1"/>
        <v>929.21974409999996</v>
      </c>
      <c r="O29" s="124">
        <v>7.1093229999999998</v>
      </c>
      <c r="P29" s="121">
        <f t="shared" si="2"/>
        <v>1015.7881606495739</v>
      </c>
      <c r="Q29" s="121">
        <f t="shared" si="3"/>
        <v>972.50395237478688</v>
      </c>
      <c r="R29" s="122">
        <v>27.5</v>
      </c>
      <c r="S29" s="121">
        <f t="shared" si="4"/>
        <v>1000.0039523747869</v>
      </c>
      <c r="T29" s="125">
        <v>787835.11</v>
      </c>
      <c r="U29" s="125">
        <v>214482.4</v>
      </c>
      <c r="V29" s="125">
        <v>270409.76</v>
      </c>
      <c r="W29" s="126">
        <v>3</v>
      </c>
      <c r="X29" s="127" t="b">
        <v>0</v>
      </c>
      <c r="Y29" s="127" t="b">
        <v>1</v>
      </c>
      <c r="Z29" s="115" t="s">
        <v>49</v>
      </c>
      <c r="AA29" s="115" t="s">
        <v>50</v>
      </c>
      <c r="AB29" s="126">
        <v>5</v>
      </c>
      <c r="AC29" s="126">
        <v>12</v>
      </c>
      <c r="AD29" s="128" t="b">
        <v>1</v>
      </c>
      <c r="AE29" s="115" t="s">
        <v>51</v>
      </c>
      <c r="AF29" s="115" t="s">
        <v>52</v>
      </c>
      <c r="AG29" s="115"/>
      <c r="AH29" s="115"/>
      <c r="AI29" s="115"/>
      <c r="AJ29" s="115"/>
    </row>
    <row r="30" spans="2:36">
      <c r="B30" s="115" t="s">
        <v>144</v>
      </c>
      <c r="C30" s="115" t="s">
        <v>145</v>
      </c>
      <c r="D30" s="115" t="s">
        <v>45</v>
      </c>
      <c r="E30" s="115" t="s">
        <v>46</v>
      </c>
      <c r="F30" s="115" t="s">
        <v>47</v>
      </c>
      <c r="G30" s="115" t="s">
        <v>48</v>
      </c>
      <c r="H30" s="115">
        <v>2032</v>
      </c>
      <c r="I30" s="122">
        <v>60</v>
      </c>
      <c r="J30" s="122">
        <v>717.7</v>
      </c>
      <c r="K30" s="123">
        <v>0.21710000000000002</v>
      </c>
      <c r="L30" s="121">
        <f t="shared" si="0"/>
        <v>155.81267000000003</v>
      </c>
      <c r="M30" s="124">
        <v>1.4330499999999999</v>
      </c>
      <c r="N30" s="121">
        <f t="shared" si="1"/>
        <v>1028.4999849999999</v>
      </c>
      <c r="O30" s="124">
        <v>7.0869650000000002</v>
      </c>
      <c r="P30" s="121">
        <f t="shared" si="2"/>
        <v>1104.2389388465501</v>
      </c>
      <c r="Q30" s="121">
        <f t="shared" si="3"/>
        <v>1066.3694619232751</v>
      </c>
      <c r="R30" s="122">
        <v>24.55</v>
      </c>
      <c r="S30" s="121">
        <f t="shared" si="4"/>
        <v>1090.9194619232751</v>
      </c>
      <c r="T30" s="125">
        <v>844109.05</v>
      </c>
      <c r="U30" s="125">
        <v>229802.58</v>
      </c>
      <c r="V30" s="125">
        <v>289724.74</v>
      </c>
      <c r="W30" s="126">
        <v>3</v>
      </c>
      <c r="X30" s="127" t="b">
        <v>0</v>
      </c>
      <c r="Y30" s="127" t="b">
        <v>1</v>
      </c>
      <c r="Z30" s="115" t="s">
        <v>49</v>
      </c>
      <c r="AA30" s="115" t="s">
        <v>50</v>
      </c>
      <c r="AB30" s="126">
        <v>5</v>
      </c>
      <c r="AC30" s="126">
        <v>12</v>
      </c>
      <c r="AD30" s="128" t="b">
        <v>1</v>
      </c>
      <c r="AE30" s="115" t="s">
        <v>51</v>
      </c>
      <c r="AF30" s="115" t="s">
        <v>52</v>
      </c>
      <c r="AG30" s="115"/>
      <c r="AH30" s="115"/>
      <c r="AI30" s="115"/>
      <c r="AJ30" s="115"/>
    </row>
    <row r="31" spans="2:36">
      <c r="B31" s="115" t="s">
        <v>146</v>
      </c>
      <c r="C31" s="115" t="s">
        <v>147</v>
      </c>
      <c r="D31" s="115" t="s">
        <v>71</v>
      </c>
      <c r="E31" s="115" t="s">
        <v>56</v>
      </c>
      <c r="F31" s="115" t="s">
        <v>57</v>
      </c>
      <c r="G31" s="115" t="s">
        <v>48</v>
      </c>
      <c r="H31" s="115">
        <v>2029</v>
      </c>
      <c r="I31" s="122">
        <v>20</v>
      </c>
      <c r="J31" s="122">
        <v>250</v>
      </c>
      <c r="K31" s="123">
        <v>0.21329999999999999</v>
      </c>
      <c r="L31" s="121">
        <f t="shared" si="0"/>
        <v>53.324999999999996</v>
      </c>
      <c r="M31" s="124">
        <v>1.49996</v>
      </c>
      <c r="N31" s="121">
        <f t="shared" si="1"/>
        <v>374.99</v>
      </c>
      <c r="O31" s="124">
        <v>7.5958360000000003</v>
      </c>
      <c r="P31" s="121">
        <f t="shared" si="2"/>
        <v>405.04795469999999</v>
      </c>
      <c r="Q31" s="121">
        <f t="shared" si="3"/>
        <v>390.01897735</v>
      </c>
      <c r="R31" s="122">
        <v>10</v>
      </c>
      <c r="S31" s="121">
        <f t="shared" si="4"/>
        <v>400.01897735</v>
      </c>
      <c r="T31" s="125">
        <v>110617.56</v>
      </c>
      <c r="U31" s="125">
        <v>11406.48</v>
      </c>
      <c r="V31" s="125">
        <v>17975.97</v>
      </c>
      <c r="W31" s="126">
        <v>2</v>
      </c>
      <c r="X31" s="127" t="b">
        <v>1</v>
      </c>
      <c r="Y31" s="127" t="b">
        <v>0</v>
      </c>
      <c r="Z31" s="115" t="s">
        <v>105</v>
      </c>
      <c r="AA31" s="115" t="s">
        <v>106</v>
      </c>
      <c r="AB31" s="126">
        <v>45</v>
      </c>
      <c r="AC31" s="126">
        <v>2</v>
      </c>
      <c r="AD31" s="128" t="b">
        <v>1</v>
      </c>
      <c r="AE31" s="115" t="s">
        <v>74</v>
      </c>
      <c r="AF31" s="115" t="s">
        <v>75</v>
      </c>
      <c r="AG31" s="115"/>
      <c r="AH31" s="115"/>
      <c r="AI31" s="115"/>
      <c r="AJ31" s="115"/>
    </row>
    <row r="32" spans="2:36">
      <c r="B32" s="115" t="s">
        <v>148</v>
      </c>
      <c r="C32" s="115" t="s">
        <v>149</v>
      </c>
      <c r="D32" s="115" t="s">
        <v>71</v>
      </c>
      <c r="E32" s="115" t="s">
        <v>63</v>
      </c>
      <c r="F32" s="115" t="s">
        <v>47</v>
      </c>
      <c r="G32" s="115" t="s">
        <v>48</v>
      </c>
      <c r="H32" s="115">
        <v>2034</v>
      </c>
      <c r="I32" s="122">
        <v>20</v>
      </c>
      <c r="J32" s="122">
        <v>250</v>
      </c>
      <c r="K32" s="123">
        <v>0.21329999999999999</v>
      </c>
      <c r="L32" s="121">
        <f t="shared" si="0"/>
        <v>53.324999999999996</v>
      </c>
      <c r="M32" s="124">
        <v>1.4914400000000001</v>
      </c>
      <c r="N32" s="121">
        <f t="shared" si="1"/>
        <v>372.86</v>
      </c>
      <c r="O32" s="124">
        <v>7.5982750000000001</v>
      </c>
      <c r="P32" s="121">
        <f t="shared" si="2"/>
        <v>405.17801437499998</v>
      </c>
      <c r="Q32" s="121">
        <f t="shared" si="3"/>
        <v>389.01900718749999</v>
      </c>
      <c r="R32" s="122">
        <v>11</v>
      </c>
      <c r="S32" s="121">
        <f t="shared" si="4"/>
        <v>400.01900718749999</v>
      </c>
      <c r="T32" s="125">
        <v>205432.6</v>
      </c>
      <c r="U32" s="125">
        <v>21183.46</v>
      </c>
      <c r="V32" s="125">
        <v>33383.94</v>
      </c>
      <c r="W32" s="126">
        <v>3</v>
      </c>
      <c r="X32" s="127" t="b">
        <v>0</v>
      </c>
      <c r="Y32" s="127" t="b">
        <v>1</v>
      </c>
      <c r="Z32" s="115" t="s">
        <v>49</v>
      </c>
      <c r="AA32" s="115" t="s">
        <v>66</v>
      </c>
      <c r="AB32" s="126">
        <v>18</v>
      </c>
      <c r="AC32" s="126">
        <v>2</v>
      </c>
      <c r="AD32" s="128" t="b">
        <v>1</v>
      </c>
      <c r="AE32" s="115" t="s">
        <v>74</v>
      </c>
      <c r="AF32" s="115" t="s">
        <v>75</v>
      </c>
      <c r="AG32" s="115"/>
      <c r="AH32" s="115"/>
      <c r="AI32" s="115"/>
      <c r="AJ32" s="115"/>
    </row>
    <row r="33" spans="2:36">
      <c r="B33" s="115" t="s">
        <v>150</v>
      </c>
      <c r="C33" s="115" t="s">
        <v>151</v>
      </c>
      <c r="D33" s="115" t="s">
        <v>71</v>
      </c>
      <c r="E33" s="115" t="s">
        <v>72</v>
      </c>
      <c r="F33" s="115" t="s">
        <v>73</v>
      </c>
      <c r="G33" s="115" t="s">
        <v>48</v>
      </c>
      <c r="H33" s="115">
        <v>2044</v>
      </c>
      <c r="I33" s="122">
        <v>150</v>
      </c>
      <c r="J33" s="122">
        <v>2000</v>
      </c>
      <c r="K33" s="123">
        <v>0.2</v>
      </c>
      <c r="L33" s="121">
        <f t="shared" si="0"/>
        <v>400</v>
      </c>
      <c r="M33" s="124">
        <v>1.401</v>
      </c>
      <c r="N33" s="121">
        <f t="shared" si="1"/>
        <v>2802</v>
      </c>
      <c r="O33" s="124">
        <v>7.6574999999999998</v>
      </c>
      <c r="P33" s="121">
        <f t="shared" si="2"/>
        <v>3063</v>
      </c>
      <c r="Q33" s="121">
        <f t="shared" si="3"/>
        <v>2932.5</v>
      </c>
      <c r="R33" s="122">
        <v>67.5</v>
      </c>
      <c r="S33" s="121">
        <f t="shared" si="4"/>
        <v>3000</v>
      </c>
      <c r="T33" s="125">
        <v>3476551.77</v>
      </c>
      <c r="U33" s="125">
        <v>358489.29</v>
      </c>
      <c r="V33" s="125">
        <v>564958.93999999994</v>
      </c>
      <c r="W33" s="126">
        <v>4</v>
      </c>
      <c r="X33" s="127" t="b">
        <v>0</v>
      </c>
      <c r="Y33" s="127" t="b">
        <v>1</v>
      </c>
      <c r="Z33" s="115" t="s">
        <v>49</v>
      </c>
      <c r="AA33" s="115" t="s">
        <v>50</v>
      </c>
      <c r="AB33" s="126">
        <v>5</v>
      </c>
      <c r="AC33" s="126">
        <v>12</v>
      </c>
      <c r="AD33" s="128" t="b">
        <v>1</v>
      </c>
      <c r="AE33" s="115" t="s">
        <v>74</v>
      </c>
      <c r="AF33" s="115" t="s">
        <v>75</v>
      </c>
      <c r="AG33" s="115"/>
      <c r="AH33" s="115"/>
      <c r="AI33" s="115"/>
      <c r="AJ33" s="115"/>
    </row>
    <row r="34" spans="2:36">
      <c r="B34" s="115" t="s">
        <v>152</v>
      </c>
      <c r="C34" s="115" t="s">
        <v>153</v>
      </c>
      <c r="D34" s="115" t="s">
        <v>91</v>
      </c>
      <c r="E34" s="115" t="s">
        <v>79</v>
      </c>
      <c r="F34" s="115" t="s">
        <v>47</v>
      </c>
      <c r="G34" s="115" t="s">
        <v>48</v>
      </c>
      <c r="H34" s="115">
        <v>2032</v>
      </c>
      <c r="I34" s="122">
        <v>75</v>
      </c>
      <c r="J34" s="122">
        <v>1759.26</v>
      </c>
      <c r="K34" s="123">
        <v>0.1263</v>
      </c>
      <c r="L34" s="121">
        <f t="shared" si="0"/>
        <v>222.19453799999999</v>
      </c>
      <c r="M34" s="124">
        <v>0.89092000000000005</v>
      </c>
      <c r="N34" s="121">
        <f t="shared" si="1"/>
        <v>1567.3599192000001</v>
      </c>
      <c r="O34" s="124">
        <v>7.4979969999999998</v>
      </c>
      <c r="P34" s="121">
        <f t="shared" si="2"/>
        <v>1666.013979340386</v>
      </c>
      <c r="Q34" s="121">
        <f t="shared" si="3"/>
        <v>1616.6869492701931</v>
      </c>
      <c r="R34" s="122">
        <v>50</v>
      </c>
      <c r="S34" s="121">
        <f t="shared" si="4"/>
        <v>1666.6869492701931</v>
      </c>
      <c r="T34" s="125">
        <v>760880.84</v>
      </c>
      <c r="U34" s="125">
        <v>191477.92</v>
      </c>
      <c r="V34" s="125">
        <v>1158752.3500000001</v>
      </c>
      <c r="W34" s="126">
        <v>3</v>
      </c>
      <c r="X34" s="127" t="b">
        <v>0</v>
      </c>
      <c r="Y34" s="127" t="b">
        <v>1</v>
      </c>
      <c r="Z34" s="115" t="s">
        <v>65</v>
      </c>
      <c r="AA34" s="115" t="s">
        <v>66</v>
      </c>
      <c r="AB34" s="126">
        <v>18</v>
      </c>
      <c r="AC34" s="126">
        <v>2</v>
      </c>
      <c r="AD34" s="128" t="b">
        <v>1</v>
      </c>
      <c r="AE34" s="115" t="s">
        <v>93</v>
      </c>
      <c r="AF34" s="115" t="s">
        <v>94</v>
      </c>
      <c r="AG34" s="115"/>
      <c r="AH34" s="115"/>
      <c r="AI34" s="115"/>
      <c r="AJ34" s="115"/>
    </row>
    <row r="35" spans="2:36">
      <c r="B35" s="115" t="s">
        <v>154</v>
      </c>
      <c r="C35" s="115" t="s">
        <v>155</v>
      </c>
      <c r="D35" s="115" t="s">
        <v>91</v>
      </c>
      <c r="E35" s="115" t="s">
        <v>86</v>
      </c>
      <c r="F35" s="115" t="s">
        <v>73</v>
      </c>
      <c r="G35" s="115" t="s">
        <v>48</v>
      </c>
      <c r="H35" s="115">
        <v>2034</v>
      </c>
      <c r="I35" s="122">
        <v>70</v>
      </c>
      <c r="J35" s="122">
        <v>1666.67</v>
      </c>
      <c r="K35" s="123">
        <v>0.1244</v>
      </c>
      <c r="L35" s="121">
        <f t="shared" si="0"/>
        <v>207.33374800000001</v>
      </c>
      <c r="M35" s="124">
        <v>0.87274600000000002</v>
      </c>
      <c r="N35" s="121">
        <f t="shared" si="1"/>
        <v>1454.5795758200002</v>
      </c>
      <c r="O35" s="124">
        <v>7.5021459999999998</v>
      </c>
      <c r="P35" s="121">
        <f t="shared" si="2"/>
        <v>1555.4480482232082</v>
      </c>
      <c r="Q35" s="121">
        <f t="shared" si="3"/>
        <v>1505.0138120216043</v>
      </c>
      <c r="R35" s="122">
        <v>50.56</v>
      </c>
      <c r="S35" s="121">
        <f t="shared" si="4"/>
        <v>1555.5738120216042</v>
      </c>
      <c r="T35" s="125">
        <v>720834.48</v>
      </c>
      <c r="U35" s="125">
        <v>181400.14</v>
      </c>
      <c r="V35" s="125">
        <v>1097765.3899999999</v>
      </c>
      <c r="W35" s="126">
        <v>3</v>
      </c>
      <c r="X35" s="127" t="b">
        <v>0</v>
      </c>
      <c r="Y35" s="127" t="b">
        <v>1</v>
      </c>
      <c r="Z35" s="115" t="s">
        <v>65</v>
      </c>
      <c r="AA35" s="115" t="s">
        <v>66</v>
      </c>
      <c r="AB35" s="126">
        <v>18</v>
      </c>
      <c r="AC35" s="126">
        <v>2</v>
      </c>
      <c r="AD35" s="128" t="b">
        <v>1</v>
      </c>
      <c r="AE35" s="115" t="s">
        <v>93</v>
      </c>
      <c r="AF35" s="115" t="s">
        <v>94</v>
      </c>
      <c r="AG35" s="115"/>
      <c r="AH35" s="115"/>
      <c r="AI35" s="115"/>
      <c r="AJ35" s="115"/>
    </row>
    <row r="36" spans="2:36">
      <c r="B36" s="115" t="s">
        <v>156</v>
      </c>
      <c r="C36" s="115" t="s">
        <v>157</v>
      </c>
      <c r="D36" s="115" t="s">
        <v>91</v>
      </c>
      <c r="E36" s="115" t="s">
        <v>92</v>
      </c>
      <c r="F36" s="115" t="s">
        <v>47</v>
      </c>
      <c r="G36" s="115" t="s">
        <v>48</v>
      </c>
      <c r="H36" s="115">
        <v>2036</v>
      </c>
      <c r="I36" s="122">
        <v>65</v>
      </c>
      <c r="J36" s="122">
        <v>1481.48</v>
      </c>
      <c r="K36" s="123">
        <v>0.13</v>
      </c>
      <c r="L36" s="121">
        <f t="shared" si="0"/>
        <v>192.5924</v>
      </c>
      <c r="M36" s="124">
        <v>0.91357999999999995</v>
      </c>
      <c r="N36" s="121">
        <f t="shared" si="1"/>
        <v>1353.4504984</v>
      </c>
      <c r="O36" s="124">
        <v>7.5600500000000004</v>
      </c>
      <c r="P36" s="121">
        <f t="shared" si="2"/>
        <v>1456.00817362</v>
      </c>
      <c r="Q36" s="121">
        <f t="shared" si="3"/>
        <v>1404.72933601</v>
      </c>
      <c r="R36" s="122">
        <v>39.72</v>
      </c>
      <c r="S36" s="121">
        <f t="shared" si="4"/>
        <v>1444.44933601</v>
      </c>
      <c r="T36" s="125">
        <v>640741.76</v>
      </c>
      <c r="U36" s="125">
        <v>161244.57</v>
      </c>
      <c r="V36" s="125">
        <v>975791.46</v>
      </c>
      <c r="W36" s="126">
        <v>3</v>
      </c>
      <c r="X36" s="127" t="b">
        <v>0</v>
      </c>
      <c r="Y36" s="127" t="b">
        <v>1</v>
      </c>
      <c r="Z36" s="115" t="s">
        <v>65</v>
      </c>
      <c r="AA36" s="115" t="s">
        <v>66</v>
      </c>
      <c r="AB36" s="126">
        <v>18</v>
      </c>
      <c r="AC36" s="126">
        <v>2</v>
      </c>
      <c r="AD36" s="128" t="b">
        <v>1</v>
      </c>
      <c r="AE36" s="115" t="s">
        <v>93</v>
      </c>
      <c r="AF36" s="115" t="s">
        <v>94</v>
      </c>
      <c r="AG36" s="115"/>
      <c r="AH36" s="115"/>
      <c r="AI36" s="115"/>
      <c r="AJ36" s="115"/>
    </row>
    <row r="37" spans="2:36">
      <c r="B37" s="115" t="s">
        <v>158</v>
      </c>
      <c r="C37" s="115" t="s">
        <v>159</v>
      </c>
      <c r="D37" s="115" t="s">
        <v>91</v>
      </c>
      <c r="E37" s="115" t="s">
        <v>98</v>
      </c>
      <c r="F37" s="115" t="s">
        <v>47</v>
      </c>
      <c r="G37" s="115" t="s">
        <v>48</v>
      </c>
      <c r="H37" s="115">
        <v>2038</v>
      </c>
      <c r="I37" s="122">
        <v>70</v>
      </c>
      <c r="J37" s="122">
        <v>1666.67</v>
      </c>
      <c r="K37" s="123">
        <v>0.1244</v>
      </c>
      <c r="L37" s="121">
        <f t="shared" si="0"/>
        <v>207.33374800000001</v>
      </c>
      <c r="M37" s="124">
        <v>0.86957200000000001</v>
      </c>
      <c r="N37" s="121">
        <f t="shared" si="1"/>
        <v>1449.28956524</v>
      </c>
      <c r="O37" s="124">
        <v>7.5651859999999997</v>
      </c>
      <c r="P37" s="121">
        <f t="shared" si="2"/>
        <v>1568.518367697128</v>
      </c>
      <c r="Q37" s="121">
        <f t="shared" si="3"/>
        <v>1508.903966468564</v>
      </c>
      <c r="R37" s="122">
        <v>46.67</v>
      </c>
      <c r="S37" s="121">
        <f t="shared" si="4"/>
        <v>1555.5739664685641</v>
      </c>
      <c r="T37" s="125">
        <v>720834.48</v>
      </c>
      <c r="U37" s="125">
        <v>181400.14</v>
      </c>
      <c r="V37" s="125">
        <v>1097765.3899999999</v>
      </c>
      <c r="W37" s="126">
        <v>3</v>
      </c>
      <c r="X37" s="127" t="b">
        <v>0</v>
      </c>
      <c r="Y37" s="127" t="b">
        <v>1</v>
      </c>
      <c r="Z37" s="115" t="s">
        <v>65</v>
      </c>
      <c r="AA37" s="115" t="s">
        <v>66</v>
      </c>
      <c r="AB37" s="126">
        <v>18</v>
      </c>
      <c r="AC37" s="126">
        <v>2</v>
      </c>
      <c r="AD37" s="128" t="b">
        <v>1</v>
      </c>
      <c r="AE37" s="115" t="s">
        <v>93</v>
      </c>
      <c r="AF37" s="115" t="s">
        <v>94</v>
      </c>
      <c r="AG37" s="115"/>
      <c r="AH37" s="115"/>
      <c r="AI37" s="115"/>
      <c r="AJ37" s="115"/>
    </row>
    <row r="38" spans="2:36">
      <c r="B38" s="115" t="s">
        <v>160</v>
      </c>
      <c r="C38" s="115" t="s">
        <v>161</v>
      </c>
      <c r="D38" s="115" t="s">
        <v>78</v>
      </c>
      <c r="E38" s="115" t="s">
        <v>103</v>
      </c>
      <c r="F38" s="115" t="s">
        <v>104</v>
      </c>
      <c r="G38" s="115" t="s">
        <v>80</v>
      </c>
      <c r="H38" s="115">
        <v>2029</v>
      </c>
      <c r="I38" s="122">
        <v>20</v>
      </c>
      <c r="J38" s="122">
        <v>250</v>
      </c>
      <c r="K38" s="123">
        <v>0.14810000000000001</v>
      </c>
      <c r="L38" s="121">
        <f t="shared" ref="L38:L65" si="5">J38*K38</f>
        <v>37.025000000000006</v>
      </c>
      <c r="M38" s="124">
        <v>1.22492</v>
      </c>
      <c r="N38" s="121">
        <f t="shared" ref="N38:N65" si="6">J38*M38</f>
        <v>306.23</v>
      </c>
      <c r="O38" s="124">
        <v>8.9705560000000002</v>
      </c>
      <c r="P38" s="121">
        <f t="shared" ref="P38:P65" si="7">L38*O38</f>
        <v>332.13483590000004</v>
      </c>
      <c r="Q38" s="121">
        <f t="shared" ref="Q38:Q65" si="8">AVERAGE(N38,P38)</f>
        <v>319.18241795000006</v>
      </c>
      <c r="R38" s="122">
        <v>14.17</v>
      </c>
      <c r="S38" s="121">
        <f t="shared" ref="S38:S65" si="9">Q38+R38</f>
        <v>333.35241795000007</v>
      </c>
      <c r="T38" s="125">
        <v>186241.15</v>
      </c>
      <c r="U38" s="125">
        <v>6710.67</v>
      </c>
      <c r="V38" s="125">
        <v>25381.51</v>
      </c>
      <c r="W38" s="126">
        <v>2</v>
      </c>
      <c r="X38" s="127" t="b">
        <v>1</v>
      </c>
      <c r="Y38" s="127" t="b">
        <v>0</v>
      </c>
      <c r="Z38" s="115" t="s">
        <v>105</v>
      </c>
      <c r="AA38" s="115" t="s">
        <v>106</v>
      </c>
      <c r="AB38" s="126">
        <v>45</v>
      </c>
      <c r="AC38" s="126">
        <v>2</v>
      </c>
      <c r="AD38" s="128" t="b">
        <v>1</v>
      </c>
      <c r="AE38" s="115" t="s">
        <v>81</v>
      </c>
      <c r="AF38" s="115" t="s">
        <v>82</v>
      </c>
      <c r="AG38" s="115"/>
      <c r="AH38" s="115"/>
      <c r="AI38" s="115"/>
      <c r="AJ38" s="115"/>
    </row>
    <row r="39" spans="2:36">
      <c r="B39" s="115" t="s">
        <v>162</v>
      </c>
      <c r="C39" s="115" t="s">
        <v>163</v>
      </c>
      <c r="D39" s="115" t="s">
        <v>78</v>
      </c>
      <c r="E39" s="115" t="s">
        <v>110</v>
      </c>
      <c r="F39" s="115" t="s">
        <v>47</v>
      </c>
      <c r="G39" s="115" t="s">
        <v>80</v>
      </c>
      <c r="H39" s="115">
        <v>2034</v>
      </c>
      <c r="I39" s="122">
        <v>30</v>
      </c>
      <c r="J39" s="122">
        <v>1312.75</v>
      </c>
      <c r="K39" s="123">
        <v>4.2300000000000004E-2</v>
      </c>
      <c r="L39" s="121">
        <f t="shared" si="5"/>
        <v>55.529325000000007</v>
      </c>
      <c r="M39" s="124">
        <v>0.35065299999999999</v>
      </c>
      <c r="N39" s="121">
        <f t="shared" si="6"/>
        <v>460.31972574999998</v>
      </c>
      <c r="O39" s="124">
        <v>9.0434000000000001</v>
      </c>
      <c r="P39" s="121">
        <f t="shared" si="7"/>
        <v>502.17389770500006</v>
      </c>
      <c r="Q39" s="121">
        <f t="shared" si="8"/>
        <v>481.24681172750002</v>
      </c>
      <c r="R39" s="122">
        <v>18.75</v>
      </c>
      <c r="S39" s="121">
        <f t="shared" si="9"/>
        <v>499.99681172750002</v>
      </c>
      <c r="T39" s="125">
        <v>1903640.49</v>
      </c>
      <c r="U39" s="125">
        <v>68592.22</v>
      </c>
      <c r="V39" s="125">
        <v>259433.95</v>
      </c>
      <c r="W39" s="126">
        <v>3</v>
      </c>
      <c r="X39" s="127" t="b">
        <v>0</v>
      </c>
      <c r="Y39" s="127" t="b">
        <v>1</v>
      </c>
      <c r="Z39" s="115" t="s">
        <v>49</v>
      </c>
      <c r="AA39" s="115" t="s">
        <v>66</v>
      </c>
      <c r="AB39" s="126">
        <v>18</v>
      </c>
      <c r="AC39" s="126">
        <v>2</v>
      </c>
      <c r="AD39" s="128" t="b">
        <v>1</v>
      </c>
      <c r="AE39" s="115" t="s">
        <v>81</v>
      </c>
      <c r="AF39" s="115" t="s">
        <v>82</v>
      </c>
      <c r="AG39" s="115"/>
      <c r="AH39" s="115"/>
      <c r="AI39" s="115"/>
      <c r="AJ39" s="115"/>
    </row>
    <row r="40" spans="2:36">
      <c r="B40" s="115" t="s">
        <v>164</v>
      </c>
      <c r="C40" s="115" t="s">
        <v>165</v>
      </c>
      <c r="D40" s="115" t="s">
        <v>78</v>
      </c>
      <c r="E40" s="115" t="s">
        <v>116</v>
      </c>
      <c r="F40" s="115" t="s">
        <v>73</v>
      </c>
      <c r="G40" s="115" t="s">
        <v>80</v>
      </c>
      <c r="H40" s="115">
        <v>2048</v>
      </c>
      <c r="I40" s="122">
        <v>135</v>
      </c>
      <c r="J40" s="122">
        <v>250</v>
      </c>
      <c r="K40" s="123">
        <v>0.55000000000000004</v>
      </c>
      <c r="L40" s="121">
        <f t="shared" si="5"/>
        <v>137.5</v>
      </c>
      <c r="M40" s="124">
        <v>8.2382399999999993</v>
      </c>
      <c r="N40" s="121">
        <f t="shared" si="6"/>
        <v>2059.56</v>
      </c>
      <c r="O40" s="124">
        <v>16.439564000000001</v>
      </c>
      <c r="P40" s="121">
        <f t="shared" si="7"/>
        <v>2260.4400500000002</v>
      </c>
      <c r="Q40" s="121">
        <f t="shared" si="8"/>
        <v>2160.0000250000003</v>
      </c>
      <c r="R40" s="122">
        <v>90</v>
      </c>
      <c r="S40" s="121">
        <f t="shared" si="9"/>
        <v>2250.0000250000003</v>
      </c>
      <c r="T40" s="125">
        <v>113735.06</v>
      </c>
      <c r="U40" s="125">
        <v>4098.12</v>
      </c>
      <c r="V40" s="125">
        <v>15500.16</v>
      </c>
      <c r="W40" s="126">
        <v>4</v>
      </c>
      <c r="X40" s="127" t="b">
        <v>0</v>
      </c>
      <c r="Y40" s="127" t="b">
        <v>1</v>
      </c>
      <c r="Z40" s="115" t="s">
        <v>49</v>
      </c>
      <c r="AA40" s="115" t="s">
        <v>50</v>
      </c>
      <c r="AB40" s="126">
        <v>5</v>
      </c>
      <c r="AC40" s="126">
        <v>12</v>
      </c>
      <c r="AD40" s="128" t="b">
        <v>1</v>
      </c>
      <c r="AE40" s="115" t="s">
        <v>81</v>
      </c>
      <c r="AF40" s="115" t="s">
        <v>82</v>
      </c>
      <c r="AG40" s="115"/>
      <c r="AH40" s="115"/>
      <c r="AI40" s="115"/>
      <c r="AJ40" s="115"/>
    </row>
    <row r="41" spans="2:36">
      <c r="B41" s="115" t="s">
        <v>166</v>
      </c>
      <c r="C41" s="115" t="s">
        <v>167</v>
      </c>
      <c r="D41" s="115" t="s">
        <v>85</v>
      </c>
      <c r="E41" s="115" t="s">
        <v>119</v>
      </c>
      <c r="F41" s="115" t="s">
        <v>47</v>
      </c>
      <c r="G41" s="115" t="s">
        <v>80</v>
      </c>
      <c r="H41" s="115">
        <v>2033</v>
      </c>
      <c r="I41" s="122">
        <v>60</v>
      </c>
      <c r="J41" s="122">
        <v>297.62</v>
      </c>
      <c r="K41" s="123">
        <v>0.33600000000000002</v>
      </c>
      <c r="L41" s="121">
        <f t="shared" si="5"/>
        <v>100.00032</v>
      </c>
      <c r="M41" s="124">
        <v>3.0579260000000001</v>
      </c>
      <c r="N41" s="121">
        <f t="shared" si="6"/>
        <v>910.09993612000005</v>
      </c>
      <c r="O41" s="124">
        <v>10.048999999999999</v>
      </c>
      <c r="P41" s="121">
        <f t="shared" si="7"/>
        <v>1004.90321568</v>
      </c>
      <c r="Q41" s="121">
        <f t="shared" si="8"/>
        <v>957.50157590000003</v>
      </c>
      <c r="R41" s="122">
        <v>42.5</v>
      </c>
      <c r="S41" s="121">
        <f t="shared" si="9"/>
        <v>1000.0015759</v>
      </c>
      <c r="T41" s="125">
        <v>350254.13</v>
      </c>
      <c r="U41" s="125">
        <v>12765.46</v>
      </c>
      <c r="V41" s="125">
        <v>53647.07</v>
      </c>
      <c r="W41" s="126">
        <v>3</v>
      </c>
      <c r="X41" s="127" t="b">
        <v>0</v>
      </c>
      <c r="Y41" s="127" t="b">
        <v>1</v>
      </c>
      <c r="Z41" s="115" t="s">
        <v>65</v>
      </c>
      <c r="AA41" s="115" t="s">
        <v>66</v>
      </c>
      <c r="AB41" s="126">
        <v>18</v>
      </c>
      <c r="AC41" s="126">
        <v>2</v>
      </c>
      <c r="AD41" s="128" t="b">
        <v>1</v>
      </c>
      <c r="AE41" s="115" t="s">
        <v>87</v>
      </c>
      <c r="AF41" s="115" t="s">
        <v>88</v>
      </c>
      <c r="AG41" s="115"/>
      <c r="AH41" s="115"/>
      <c r="AI41" s="115"/>
      <c r="AJ41" s="115"/>
    </row>
    <row r="42" spans="2:36">
      <c r="B42" s="115" t="s">
        <v>168</v>
      </c>
      <c r="C42" s="115" t="s">
        <v>169</v>
      </c>
      <c r="D42" s="115" t="s">
        <v>85</v>
      </c>
      <c r="E42" s="115" t="s">
        <v>46</v>
      </c>
      <c r="F42" s="115" t="s">
        <v>47</v>
      </c>
      <c r="G42" s="115" t="s">
        <v>80</v>
      </c>
      <c r="H42" s="115">
        <v>2036</v>
      </c>
      <c r="I42" s="122">
        <v>55</v>
      </c>
      <c r="J42" s="122">
        <v>297.62</v>
      </c>
      <c r="K42" s="123">
        <v>0.308</v>
      </c>
      <c r="L42" s="121">
        <f t="shared" si="5"/>
        <v>91.666960000000003</v>
      </c>
      <c r="M42" s="124">
        <v>2.8444319999999998</v>
      </c>
      <c r="N42" s="121">
        <f t="shared" si="6"/>
        <v>846.55985183999996</v>
      </c>
      <c r="O42" s="124">
        <v>10.014398999999999</v>
      </c>
      <c r="P42" s="121">
        <f t="shared" si="7"/>
        <v>917.98951255703992</v>
      </c>
      <c r="Q42" s="121">
        <f t="shared" si="8"/>
        <v>882.27468219851994</v>
      </c>
      <c r="R42" s="122">
        <v>34.380000000000003</v>
      </c>
      <c r="S42" s="121">
        <f t="shared" si="9"/>
        <v>916.65468219851994</v>
      </c>
      <c r="T42" s="125">
        <v>350254.13</v>
      </c>
      <c r="U42" s="125">
        <v>12765.46</v>
      </c>
      <c r="V42" s="125">
        <v>53647.07</v>
      </c>
      <c r="W42" s="126">
        <v>3</v>
      </c>
      <c r="X42" s="127" t="b">
        <v>0</v>
      </c>
      <c r="Y42" s="127" t="b">
        <v>1</v>
      </c>
      <c r="Z42" s="115" t="s">
        <v>65</v>
      </c>
      <c r="AA42" s="115" t="s">
        <v>66</v>
      </c>
      <c r="AB42" s="126">
        <v>18</v>
      </c>
      <c r="AC42" s="126">
        <v>2</v>
      </c>
      <c r="AD42" s="128" t="b">
        <v>1</v>
      </c>
      <c r="AE42" s="115" t="s">
        <v>87</v>
      </c>
      <c r="AF42" s="115" t="s">
        <v>88</v>
      </c>
      <c r="AG42" s="115"/>
      <c r="AH42" s="115"/>
      <c r="AI42" s="115"/>
      <c r="AJ42" s="115"/>
    </row>
    <row r="43" spans="2:36">
      <c r="B43" s="115" t="s">
        <v>170</v>
      </c>
      <c r="C43" s="115" t="s">
        <v>171</v>
      </c>
      <c r="D43" s="115" t="s">
        <v>85</v>
      </c>
      <c r="E43" s="115" t="s">
        <v>56</v>
      </c>
      <c r="F43" s="115" t="s">
        <v>57</v>
      </c>
      <c r="G43" s="115" t="s">
        <v>80</v>
      </c>
      <c r="H43" s="115">
        <v>2040</v>
      </c>
      <c r="I43" s="122">
        <v>55</v>
      </c>
      <c r="J43" s="122">
        <v>297.62</v>
      </c>
      <c r="K43" s="123">
        <v>0.308</v>
      </c>
      <c r="L43" s="121">
        <f t="shared" si="5"/>
        <v>91.666960000000003</v>
      </c>
      <c r="M43" s="124">
        <v>2.8281700000000001</v>
      </c>
      <c r="N43" s="121">
        <f t="shared" si="6"/>
        <v>841.7199554</v>
      </c>
      <c r="O43" s="124">
        <v>10.017236</v>
      </c>
      <c r="P43" s="121">
        <f t="shared" si="7"/>
        <v>918.24957172256006</v>
      </c>
      <c r="Q43" s="121">
        <f t="shared" si="8"/>
        <v>879.98476356128003</v>
      </c>
      <c r="R43" s="122">
        <v>36.67</v>
      </c>
      <c r="S43" s="121">
        <f t="shared" si="9"/>
        <v>916.65476356127999</v>
      </c>
      <c r="T43" s="125">
        <v>350254.13</v>
      </c>
      <c r="U43" s="125">
        <v>12765.46</v>
      </c>
      <c r="V43" s="125">
        <v>53647.07</v>
      </c>
      <c r="W43" s="126">
        <v>3</v>
      </c>
      <c r="X43" s="127" t="b">
        <v>0</v>
      </c>
      <c r="Y43" s="127" t="b">
        <v>1</v>
      </c>
      <c r="Z43" s="115" t="s">
        <v>65</v>
      </c>
      <c r="AA43" s="115" t="s">
        <v>66</v>
      </c>
      <c r="AB43" s="126">
        <v>18</v>
      </c>
      <c r="AC43" s="126">
        <v>2</v>
      </c>
      <c r="AD43" s="128" t="b">
        <v>1</v>
      </c>
      <c r="AE43" s="115" t="s">
        <v>87</v>
      </c>
      <c r="AF43" s="115" t="s">
        <v>88</v>
      </c>
      <c r="AG43" s="115"/>
      <c r="AH43" s="115"/>
      <c r="AI43" s="115"/>
      <c r="AJ43" s="115"/>
    </row>
    <row r="44" spans="2:36">
      <c r="B44" s="115" t="s">
        <v>172</v>
      </c>
      <c r="C44" s="115" t="s">
        <v>173</v>
      </c>
      <c r="D44" s="115" t="s">
        <v>174</v>
      </c>
      <c r="E44" s="115" t="s">
        <v>63</v>
      </c>
      <c r="F44" s="115" t="s">
        <v>47</v>
      </c>
      <c r="G44" s="115" t="s">
        <v>48</v>
      </c>
      <c r="H44" s="115">
        <v>2028</v>
      </c>
      <c r="I44" s="122">
        <v>100</v>
      </c>
      <c r="J44" s="122">
        <v>2352.94</v>
      </c>
      <c r="K44" s="123">
        <v>0.12140000000000001</v>
      </c>
      <c r="L44" s="121">
        <f t="shared" si="5"/>
        <v>285.64691600000003</v>
      </c>
      <c r="M44" s="124">
        <v>0.79647199999999996</v>
      </c>
      <c r="N44" s="121">
        <f t="shared" si="6"/>
        <v>1874.0508276799999</v>
      </c>
      <c r="O44" s="124">
        <v>6.9873969999999996</v>
      </c>
      <c r="P44" s="121">
        <f t="shared" si="7"/>
        <v>1995.9284039176521</v>
      </c>
      <c r="Q44" s="121">
        <f t="shared" si="8"/>
        <v>1934.989615798826</v>
      </c>
      <c r="R44" s="122">
        <v>65</v>
      </c>
      <c r="S44" s="121">
        <f t="shared" si="9"/>
        <v>1999.989615798826</v>
      </c>
      <c r="T44" s="125">
        <v>107838.04</v>
      </c>
      <c r="U44" s="125">
        <v>65130.63</v>
      </c>
      <c r="V44" s="125">
        <v>1827031.33</v>
      </c>
      <c r="W44" s="126">
        <v>2</v>
      </c>
      <c r="X44" s="127" t="b">
        <v>1</v>
      </c>
      <c r="Y44" s="127" t="b">
        <v>0</v>
      </c>
      <c r="Z44" s="115" t="s">
        <v>105</v>
      </c>
      <c r="AA44" s="115" t="s">
        <v>106</v>
      </c>
      <c r="AB44" s="126">
        <v>45</v>
      </c>
      <c r="AC44" s="126">
        <v>2</v>
      </c>
      <c r="AD44" s="128" t="b">
        <v>0</v>
      </c>
      <c r="AE44" s="115" t="s">
        <v>175</v>
      </c>
      <c r="AF44" s="115" t="s">
        <v>176</v>
      </c>
      <c r="AG44" s="115"/>
      <c r="AH44" s="115"/>
      <c r="AI44" s="115"/>
      <c r="AJ44" s="115"/>
    </row>
    <row r="45" spans="2:36">
      <c r="B45" s="115" t="s">
        <v>177</v>
      </c>
      <c r="C45" s="115" t="s">
        <v>178</v>
      </c>
      <c r="D45" s="115" t="s">
        <v>174</v>
      </c>
      <c r="E45" s="115" t="s">
        <v>72</v>
      </c>
      <c r="F45" s="115" t="s">
        <v>73</v>
      </c>
      <c r="G45" s="115" t="s">
        <v>48</v>
      </c>
      <c r="H45" s="115">
        <v>2029</v>
      </c>
      <c r="I45" s="122">
        <v>100</v>
      </c>
      <c r="J45" s="122">
        <v>2352.94</v>
      </c>
      <c r="K45" s="123">
        <v>0.12140000000000001</v>
      </c>
      <c r="L45" s="121">
        <f t="shared" si="5"/>
        <v>285.64691600000003</v>
      </c>
      <c r="M45" s="124">
        <v>0.79810800000000004</v>
      </c>
      <c r="N45" s="121">
        <f t="shared" si="6"/>
        <v>1877.9002375200002</v>
      </c>
      <c r="O45" s="124">
        <v>7.0439350000000003</v>
      </c>
      <c r="P45" s="121">
        <f t="shared" si="7"/>
        <v>2012.0783092544602</v>
      </c>
      <c r="Q45" s="121">
        <f t="shared" si="8"/>
        <v>1944.9892733872302</v>
      </c>
      <c r="R45" s="122">
        <v>55</v>
      </c>
      <c r="S45" s="121">
        <f t="shared" si="9"/>
        <v>1999.9892733872302</v>
      </c>
      <c r="T45" s="125">
        <v>107838.04</v>
      </c>
      <c r="U45" s="125">
        <v>65130.63</v>
      </c>
      <c r="V45" s="125">
        <v>1827031.33</v>
      </c>
      <c r="W45" s="126">
        <v>2</v>
      </c>
      <c r="X45" s="127" t="b">
        <v>1</v>
      </c>
      <c r="Y45" s="127" t="b">
        <v>0</v>
      </c>
      <c r="Z45" s="115" t="s">
        <v>105</v>
      </c>
      <c r="AA45" s="115" t="s">
        <v>106</v>
      </c>
      <c r="AB45" s="126">
        <v>45</v>
      </c>
      <c r="AC45" s="126">
        <v>2</v>
      </c>
      <c r="AD45" s="128" t="b">
        <v>0</v>
      </c>
      <c r="AE45" s="115" t="s">
        <v>175</v>
      </c>
      <c r="AF45" s="115" t="s">
        <v>176</v>
      </c>
      <c r="AG45" s="115"/>
      <c r="AH45" s="115"/>
      <c r="AI45" s="115"/>
      <c r="AJ45" s="115"/>
    </row>
    <row r="46" spans="2:36">
      <c r="B46" s="115" t="s">
        <v>179</v>
      </c>
      <c r="C46" s="115" t="s">
        <v>180</v>
      </c>
      <c r="D46" s="115" t="s">
        <v>174</v>
      </c>
      <c r="E46" s="115" t="s">
        <v>79</v>
      </c>
      <c r="F46" s="115" t="s">
        <v>47</v>
      </c>
      <c r="G46" s="115" t="s">
        <v>48</v>
      </c>
      <c r="H46" s="115">
        <v>2030</v>
      </c>
      <c r="I46" s="122">
        <v>100</v>
      </c>
      <c r="J46" s="122">
        <v>2352.94</v>
      </c>
      <c r="K46" s="123">
        <v>0.12140000000000001</v>
      </c>
      <c r="L46" s="121">
        <f t="shared" si="5"/>
        <v>285.64691600000003</v>
      </c>
      <c r="M46" s="124">
        <v>0.80347599999999997</v>
      </c>
      <c r="N46" s="121">
        <f t="shared" si="6"/>
        <v>1890.53081944</v>
      </c>
      <c r="O46" s="124">
        <v>6.9647119999999996</v>
      </c>
      <c r="P46" s="121">
        <f t="shared" si="7"/>
        <v>1989.4485036281922</v>
      </c>
      <c r="Q46" s="121">
        <f t="shared" si="8"/>
        <v>1939.9896615340961</v>
      </c>
      <c r="R46" s="122">
        <v>60</v>
      </c>
      <c r="S46" s="121">
        <f t="shared" si="9"/>
        <v>1999.9896615340961</v>
      </c>
      <c r="T46" s="125">
        <v>107838.04</v>
      </c>
      <c r="U46" s="125">
        <v>65130.63</v>
      </c>
      <c r="V46" s="125">
        <v>1827031.33</v>
      </c>
      <c r="W46" s="126">
        <v>2</v>
      </c>
      <c r="X46" s="127" t="b">
        <v>1</v>
      </c>
      <c r="Y46" s="127" t="b">
        <v>0</v>
      </c>
      <c r="Z46" s="115" t="s">
        <v>105</v>
      </c>
      <c r="AA46" s="115" t="s">
        <v>106</v>
      </c>
      <c r="AB46" s="126">
        <v>45</v>
      </c>
      <c r="AC46" s="126">
        <v>2</v>
      </c>
      <c r="AD46" s="128" t="b">
        <v>0</v>
      </c>
      <c r="AE46" s="115" t="s">
        <v>175</v>
      </c>
      <c r="AF46" s="115" t="s">
        <v>176</v>
      </c>
      <c r="AG46" s="115"/>
      <c r="AH46" s="115"/>
      <c r="AI46" s="115"/>
      <c r="AJ46" s="115"/>
    </row>
    <row r="47" spans="2:36">
      <c r="B47" s="115" t="s">
        <v>181</v>
      </c>
      <c r="C47" s="115" t="s">
        <v>182</v>
      </c>
      <c r="D47" s="115" t="s">
        <v>174</v>
      </c>
      <c r="E47" s="115" t="s">
        <v>86</v>
      </c>
      <c r="F47" s="115" t="s">
        <v>73</v>
      </c>
      <c r="G47" s="115" t="s">
        <v>48</v>
      </c>
      <c r="H47" s="115">
        <v>2031</v>
      </c>
      <c r="I47" s="122">
        <v>60</v>
      </c>
      <c r="J47" s="122">
        <v>1882.35</v>
      </c>
      <c r="K47" s="123">
        <v>9.11E-2</v>
      </c>
      <c r="L47" s="121">
        <f t="shared" si="5"/>
        <v>171.48208499999998</v>
      </c>
      <c r="M47" s="124">
        <v>0.59920300000000004</v>
      </c>
      <c r="N47" s="121">
        <f t="shared" si="6"/>
        <v>1127.90976705</v>
      </c>
      <c r="O47" s="124">
        <v>6.9634359999999997</v>
      </c>
      <c r="P47" s="121">
        <f t="shared" si="7"/>
        <v>1194.1045240440599</v>
      </c>
      <c r="Q47" s="121">
        <f t="shared" si="8"/>
        <v>1161.0071455470299</v>
      </c>
      <c r="R47" s="122">
        <v>39</v>
      </c>
      <c r="S47" s="121">
        <f t="shared" si="9"/>
        <v>1200.0071455470299</v>
      </c>
      <c r="T47" s="125">
        <v>86270.43</v>
      </c>
      <c r="U47" s="125">
        <v>52104.51</v>
      </c>
      <c r="V47" s="125">
        <v>1461625.06</v>
      </c>
      <c r="W47" s="126">
        <v>3</v>
      </c>
      <c r="X47" s="127" t="b">
        <v>0</v>
      </c>
      <c r="Y47" s="127" t="b">
        <v>1</v>
      </c>
      <c r="Z47" s="115" t="s">
        <v>49</v>
      </c>
      <c r="AA47" s="115" t="s">
        <v>66</v>
      </c>
      <c r="AB47" s="126">
        <v>18</v>
      </c>
      <c r="AC47" s="126">
        <v>2</v>
      </c>
      <c r="AD47" s="128" t="b">
        <v>0</v>
      </c>
      <c r="AE47" s="115" t="s">
        <v>175</v>
      </c>
      <c r="AF47" s="115" t="s">
        <v>176</v>
      </c>
      <c r="AG47" s="115"/>
      <c r="AH47" s="115"/>
      <c r="AI47" s="115"/>
      <c r="AJ47" s="115"/>
    </row>
    <row r="48" spans="2:36">
      <c r="B48" s="115" t="s">
        <v>183</v>
      </c>
      <c r="C48" s="115" t="s">
        <v>184</v>
      </c>
      <c r="D48" s="115" t="s">
        <v>174</v>
      </c>
      <c r="E48" s="115" t="s">
        <v>92</v>
      </c>
      <c r="F48" s="115" t="s">
        <v>47</v>
      </c>
      <c r="G48" s="115" t="s">
        <v>48</v>
      </c>
      <c r="H48" s="115">
        <v>2032</v>
      </c>
      <c r="I48" s="122">
        <v>60</v>
      </c>
      <c r="J48" s="122">
        <v>1882.35</v>
      </c>
      <c r="K48" s="123">
        <v>9.11E-2</v>
      </c>
      <c r="L48" s="121">
        <f t="shared" si="5"/>
        <v>171.48208499999998</v>
      </c>
      <c r="M48" s="124">
        <v>0.600441</v>
      </c>
      <c r="N48" s="121">
        <f t="shared" si="6"/>
        <v>1130.2401163499999</v>
      </c>
      <c r="O48" s="124">
        <v>7.0198270000000003</v>
      </c>
      <c r="P48" s="121">
        <f t="shared" si="7"/>
        <v>1203.774570299295</v>
      </c>
      <c r="Q48" s="121">
        <f t="shared" si="8"/>
        <v>1167.0073433246475</v>
      </c>
      <c r="R48" s="122">
        <v>33</v>
      </c>
      <c r="S48" s="121">
        <f t="shared" si="9"/>
        <v>1200.0073433246475</v>
      </c>
      <c r="T48" s="125">
        <v>86270.43</v>
      </c>
      <c r="U48" s="125">
        <v>52104.51</v>
      </c>
      <c r="V48" s="125">
        <v>1461625.06</v>
      </c>
      <c r="W48" s="126">
        <v>3</v>
      </c>
      <c r="X48" s="127" t="b">
        <v>0</v>
      </c>
      <c r="Y48" s="127" t="b">
        <v>1</v>
      </c>
      <c r="Z48" s="115" t="s">
        <v>49</v>
      </c>
      <c r="AA48" s="115" t="s">
        <v>66</v>
      </c>
      <c r="AB48" s="126">
        <v>18</v>
      </c>
      <c r="AC48" s="126">
        <v>2</v>
      </c>
      <c r="AD48" s="128" t="b">
        <v>0</v>
      </c>
      <c r="AE48" s="115" t="s">
        <v>175</v>
      </c>
      <c r="AF48" s="115" t="s">
        <v>176</v>
      </c>
      <c r="AG48" s="115"/>
      <c r="AH48" s="115"/>
      <c r="AI48" s="115"/>
      <c r="AJ48" s="115"/>
    </row>
    <row r="49" spans="2:36">
      <c r="B49" s="115" t="s">
        <v>185</v>
      </c>
      <c r="C49" s="115" t="s">
        <v>186</v>
      </c>
      <c r="D49" s="115" t="s">
        <v>97</v>
      </c>
      <c r="E49" s="115" t="s">
        <v>98</v>
      </c>
      <c r="F49" s="115" t="s">
        <v>47</v>
      </c>
      <c r="G49" s="115" t="s">
        <v>48</v>
      </c>
      <c r="H49" s="115">
        <v>2029</v>
      </c>
      <c r="I49" s="122">
        <v>60</v>
      </c>
      <c r="J49" s="122">
        <v>277.77999999999997</v>
      </c>
      <c r="K49" s="123">
        <v>0.36</v>
      </c>
      <c r="L49" s="121">
        <f t="shared" si="5"/>
        <v>100.00079999999998</v>
      </c>
      <c r="M49" s="124">
        <v>4.0457919999999996</v>
      </c>
      <c r="N49" s="121">
        <f t="shared" si="6"/>
        <v>1123.8401017599997</v>
      </c>
      <c r="O49" s="124">
        <v>12.041600000000001</v>
      </c>
      <c r="P49" s="121">
        <f t="shared" si="7"/>
        <v>1204.16963328</v>
      </c>
      <c r="Q49" s="121">
        <f t="shared" si="8"/>
        <v>1164.0048675199998</v>
      </c>
      <c r="R49" s="122">
        <v>36</v>
      </c>
      <c r="S49" s="121">
        <f t="shared" si="9"/>
        <v>1200.0048675199998</v>
      </c>
      <c r="T49" s="125">
        <v>39927.93</v>
      </c>
      <c r="U49" s="125">
        <v>10550.38</v>
      </c>
      <c r="V49" s="125">
        <v>199521.69</v>
      </c>
      <c r="W49" s="126">
        <v>3</v>
      </c>
      <c r="X49" s="127" t="b">
        <v>0</v>
      </c>
      <c r="Y49" s="127" t="b">
        <v>1</v>
      </c>
      <c r="Z49" s="115" t="s">
        <v>65</v>
      </c>
      <c r="AA49" s="115" t="s">
        <v>66</v>
      </c>
      <c r="AB49" s="126">
        <v>18</v>
      </c>
      <c r="AC49" s="126">
        <v>2</v>
      </c>
      <c r="AD49" s="128" t="b">
        <v>0</v>
      </c>
      <c r="AE49" s="115" t="s">
        <v>99</v>
      </c>
      <c r="AF49" s="115" t="s">
        <v>100</v>
      </c>
      <c r="AG49" s="115"/>
      <c r="AH49" s="115"/>
      <c r="AI49" s="115"/>
      <c r="AJ49" s="115"/>
    </row>
    <row r="50" spans="2:36">
      <c r="B50" s="115" t="s">
        <v>187</v>
      </c>
      <c r="C50" s="115" t="s">
        <v>188</v>
      </c>
      <c r="D50" s="115" t="s">
        <v>97</v>
      </c>
      <c r="E50" s="115" t="s">
        <v>103</v>
      </c>
      <c r="F50" s="115" t="s">
        <v>104</v>
      </c>
      <c r="G50" s="115" t="s">
        <v>48</v>
      </c>
      <c r="H50" s="115">
        <v>2031</v>
      </c>
      <c r="I50" s="122">
        <v>60</v>
      </c>
      <c r="J50" s="122">
        <v>277.77999999999997</v>
      </c>
      <c r="K50" s="123">
        <v>0.36</v>
      </c>
      <c r="L50" s="121">
        <f t="shared" si="5"/>
        <v>100.00079999999998</v>
      </c>
      <c r="M50" s="124">
        <v>4.0729709999999999</v>
      </c>
      <c r="N50" s="121">
        <f t="shared" si="6"/>
        <v>1131.3898843799998</v>
      </c>
      <c r="O50" s="124">
        <v>11.9061</v>
      </c>
      <c r="P50" s="121">
        <f t="shared" si="7"/>
        <v>1190.6195248799997</v>
      </c>
      <c r="Q50" s="121">
        <f t="shared" si="8"/>
        <v>1161.0047046299997</v>
      </c>
      <c r="R50" s="122">
        <v>39</v>
      </c>
      <c r="S50" s="121">
        <f t="shared" si="9"/>
        <v>1200.0047046299997</v>
      </c>
      <c r="T50" s="125">
        <v>39927.93</v>
      </c>
      <c r="U50" s="125">
        <v>10550.38</v>
      </c>
      <c r="V50" s="125">
        <v>199521.69</v>
      </c>
      <c r="W50" s="126">
        <v>3</v>
      </c>
      <c r="X50" s="127" t="b">
        <v>0</v>
      </c>
      <c r="Y50" s="127" t="b">
        <v>1</v>
      </c>
      <c r="Z50" s="115" t="s">
        <v>65</v>
      </c>
      <c r="AA50" s="115" t="s">
        <v>66</v>
      </c>
      <c r="AB50" s="126">
        <v>18</v>
      </c>
      <c r="AC50" s="126">
        <v>2</v>
      </c>
      <c r="AD50" s="128" t="b">
        <v>0</v>
      </c>
      <c r="AE50" s="115" t="s">
        <v>99</v>
      </c>
      <c r="AF50" s="115" t="s">
        <v>100</v>
      </c>
      <c r="AG50" s="115"/>
      <c r="AH50" s="115"/>
      <c r="AI50" s="115"/>
      <c r="AJ50" s="115"/>
    </row>
    <row r="51" spans="2:36">
      <c r="B51" s="115" t="s">
        <v>189</v>
      </c>
      <c r="C51" s="115" t="s">
        <v>190</v>
      </c>
      <c r="D51" s="115" t="s">
        <v>97</v>
      </c>
      <c r="E51" s="115" t="s">
        <v>110</v>
      </c>
      <c r="F51" s="115" t="s">
        <v>47</v>
      </c>
      <c r="G51" s="115" t="s">
        <v>48</v>
      </c>
      <c r="H51" s="115">
        <v>2033</v>
      </c>
      <c r="I51" s="122">
        <v>55</v>
      </c>
      <c r="J51" s="122">
        <v>277.77999999999997</v>
      </c>
      <c r="K51" s="123">
        <v>0.33</v>
      </c>
      <c r="L51" s="121">
        <f t="shared" si="5"/>
        <v>91.667400000000001</v>
      </c>
      <c r="M51" s="124">
        <v>3.7413059999999998</v>
      </c>
      <c r="N51" s="121">
        <f t="shared" si="6"/>
        <v>1039.2599806799999</v>
      </c>
      <c r="O51" s="124">
        <v>12.002181999999999</v>
      </c>
      <c r="P51" s="121">
        <f t="shared" si="7"/>
        <v>1100.2088182667999</v>
      </c>
      <c r="Q51" s="121">
        <f t="shared" si="8"/>
        <v>1069.7343994733999</v>
      </c>
      <c r="R51" s="122">
        <v>30.25</v>
      </c>
      <c r="S51" s="121">
        <f t="shared" si="9"/>
        <v>1099.9843994733999</v>
      </c>
      <c r="T51" s="125">
        <v>39927.93</v>
      </c>
      <c r="U51" s="125">
        <v>10550.38</v>
      </c>
      <c r="V51" s="125">
        <v>199521.69</v>
      </c>
      <c r="W51" s="126">
        <v>3</v>
      </c>
      <c r="X51" s="127" t="b">
        <v>0</v>
      </c>
      <c r="Y51" s="127" t="b">
        <v>1</v>
      </c>
      <c r="Z51" s="115" t="s">
        <v>65</v>
      </c>
      <c r="AA51" s="115" t="s">
        <v>66</v>
      </c>
      <c r="AB51" s="126">
        <v>18</v>
      </c>
      <c r="AC51" s="126">
        <v>2</v>
      </c>
      <c r="AD51" s="128" t="b">
        <v>0</v>
      </c>
      <c r="AE51" s="115" t="s">
        <v>99</v>
      </c>
      <c r="AF51" s="115" t="s">
        <v>100</v>
      </c>
      <c r="AG51" s="115"/>
      <c r="AH51" s="115"/>
      <c r="AI51" s="115"/>
      <c r="AJ51" s="115"/>
    </row>
    <row r="52" spans="2:36">
      <c r="B52" s="115" t="s">
        <v>191</v>
      </c>
      <c r="C52" s="115" t="s">
        <v>192</v>
      </c>
      <c r="D52" s="115" t="s">
        <v>97</v>
      </c>
      <c r="E52" s="115" t="s">
        <v>116</v>
      </c>
      <c r="F52" s="115" t="s">
        <v>73</v>
      </c>
      <c r="G52" s="115" t="s">
        <v>48</v>
      </c>
      <c r="H52" s="115">
        <v>2035</v>
      </c>
      <c r="I52" s="122">
        <v>60</v>
      </c>
      <c r="J52" s="122">
        <v>277.77999999999997</v>
      </c>
      <c r="K52" s="123">
        <v>0.36</v>
      </c>
      <c r="L52" s="121">
        <f t="shared" si="5"/>
        <v>100.00079999999998</v>
      </c>
      <c r="M52" s="124">
        <v>4.0583559999999999</v>
      </c>
      <c r="N52" s="121">
        <f t="shared" si="6"/>
        <v>1127.3301296799998</v>
      </c>
      <c r="O52" s="124">
        <v>12.0067</v>
      </c>
      <c r="P52" s="121">
        <f t="shared" si="7"/>
        <v>1200.6796053599999</v>
      </c>
      <c r="Q52" s="121">
        <f t="shared" si="8"/>
        <v>1164.0048675199998</v>
      </c>
      <c r="R52" s="122">
        <v>36</v>
      </c>
      <c r="S52" s="121">
        <f t="shared" si="9"/>
        <v>1200.0048675199998</v>
      </c>
      <c r="T52" s="125">
        <v>39927.93</v>
      </c>
      <c r="U52" s="125">
        <v>10550.38</v>
      </c>
      <c r="V52" s="125">
        <v>199521.69</v>
      </c>
      <c r="W52" s="126">
        <v>3</v>
      </c>
      <c r="X52" s="127" t="b">
        <v>0</v>
      </c>
      <c r="Y52" s="127" t="b">
        <v>1</v>
      </c>
      <c r="Z52" s="115" t="s">
        <v>65</v>
      </c>
      <c r="AA52" s="115" t="s">
        <v>66</v>
      </c>
      <c r="AB52" s="126">
        <v>18</v>
      </c>
      <c r="AC52" s="126">
        <v>2</v>
      </c>
      <c r="AD52" s="128" t="b">
        <v>0</v>
      </c>
      <c r="AE52" s="115" t="s">
        <v>99</v>
      </c>
      <c r="AF52" s="115" t="s">
        <v>100</v>
      </c>
      <c r="AG52" s="115"/>
      <c r="AH52" s="115"/>
      <c r="AI52" s="115"/>
      <c r="AJ52" s="115"/>
    </row>
    <row r="53" spans="2:36">
      <c r="B53" s="115" t="s">
        <v>193</v>
      </c>
      <c r="C53" s="115" t="s">
        <v>194</v>
      </c>
      <c r="D53" s="115" t="s">
        <v>109</v>
      </c>
      <c r="E53" s="115" t="s">
        <v>119</v>
      </c>
      <c r="F53" s="115" t="s">
        <v>47</v>
      </c>
      <c r="G53" s="115" t="s">
        <v>111</v>
      </c>
      <c r="H53" s="115">
        <v>2027</v>
      </c>
      <c r="I53" s="122">
        <v>60</v>
      </c>
      <c r="J53" s="122">
        <v>317.45999999999998</v>
      </c>
      <c r="K53" s="123">
        <v>0.45</v>
      </c>
      <c r="L53" s="121">
        <f t="shared" si="5"/>
        <v>142.857</v>
      </c>
      <c r="M53" s="124">
        <v>5.1228189999999998</v>
      </c>
      <c r="N53" s="121">
        <f t="shared" si="6"/>
        <v>1626.2901197399999</v>
      </c>
      <c r="O53" s="124">
        <v>12.075808</v>
      </c>
      <c r="P53" s="121">
        <f t="shared" si="7"/>
        <v>1725.1137034559999</v>
      </c>
      <c r="Q53" s="121">
        <f t="shared" si="8"/>
        <v>1675.7019115979999</v>
      </c>
      <c r="R53" s="122">
        <v>38.57</v>
      </c>
      <c r="S53" s="121">
        <f t="shared" si="9"/>
        <v>1714.2719115979999</v>
      </c>
      <c r="T53" s="125">
        <v>19518.93</v>
      </c>
      <c r="U53" s="125">
        <v>18458.77</v>
      </c>
      <c r="V53" s="125">
        <v>19165.16</v>
      </c>
      <c r="W53" s="126">
        <v>2</v>
      </c>
      <c r="X53" s="127" t="b">
        <v>1</v>
      </c>
      <c r="Y53" s="127" t="b">
        <v>0</v>
      </c>
      <c r="Z53" s="115" t="s">
        <v>105</v>
      </c>
      <c r="AA53" s="115" t="s">
        <v>106</v>
      </c>
      <c r="AB53" s="126">
        <v>45</v>
      </c>
      <c r="AC53" s="126">
        <v>2</v>
      </c>
      <c r="AD53" s="128" t="b">
        <v>0</v>
      </c>
      <c r="AE53" s="115" t="s">
        <v>112</v>
      </c>
      <c r="AF53" s="115" t="s">
        <v>113</v>
      </c>
      <c r="AG53" s="115"/>
      <c r="AH53" s="115"/>
      <c r="AI53" s="115"/>
      <c r="AJ53" s="115"/>
    </row>
    <row r="54" spans="2:36">
      <c r="B54" s="115" t="s">
        <v>195</v>
      </c>
      <c r="C54" s="115" t="s">
        <v>196</v>
      </c>
      <c r="D54" s="115" t="s">
        <v>109</v>
      </c>
      <c r="E54" s="115" t="s">
        <v>46</v>
      </c>
      <c r="F54" s="115" t="s">
        <v>47</v>
      </c>
      <c r="G54" s="115" t="s">
        <v>111</v>
      </c>
      <c r="H54" s="115">
        <v>2028</v>
      </c>
      <c r="I54" s="122">
        <v>55</v>
      </c>
      <c r="J54" s="122">
        <v>317.45999999999998</v>
      </c>
      <c r="K54" s="123">
        <v>0.41249999999999998</v>
      </c>
      <c r="L54" s="121">
        <f t="shared" si="5"/>
        <v>130.95224999999999</v>
      </c>
      <c r="M54" s="124">
        <v>4.763687</v>
      </c>
      <c r="N54" s="121">
        <f t="shared" si="6"/>
        <v>1512.2800750199999</v>
      </c>
      <c r="O54" s="124">
        <v>12.031921000000001</v>
      </c>
      <c r="P54" s="121">
        <f t="shared" si="7"/>
        <v>1575.60712677225</v>
      </c>
      <c r="Q54" s="121">
        <f t="shared" si="8"/>
        <v>1543.943600896125</v>
      </c>
      <c r="R54" s="122">
        <v>27.5</v>
      </c>
      <c r="S54" s="121">
        <f t="shared" si="9"/>
        <v>1571.443600896125</v>
      </c>
      <c r="T54" s="125">
        <v>19518.93</v>
      </c>
      <c r="U54" s="125">
        <v>18458.77</v>
      </c>
      <c r="V54" s="125">
        <v>19165.16</v>
      </c>
      <c r="W54" s="126">
        <v>2</v>
      </c>
      <c r="X54" s="127" t="b">
        <v>1</v>
      </c>
      <c r="Y54" s="127" t="b">
        <v>0</v>
      </c>
      <c r="Z54" s="115" t="s">
        <v>105</v>
      </c>
      <c r="AA54" s="115" t="s">
        <v>106</v>
      </c>
      <c r="AB54" s="126">
        <v>45</v>
      </c>
      <c r="AC54" s="126">
        <v>2</v>
      </c>
      <c r="AD54" s="128" t="b">
        <v>0</v>
      </c>
      <c r="AE54" s="115" t="s">
        <v>112</v>
      </c>
      <c r="AF54" s="115" t="s">
        <v>113</v>
      </c>
      <c r="AG54" s="115"/>
      <c r="AH54" s="115"/>
      <c r="AI54" s="115"/>
      <c r="AJ54" s="115"/>
    </row>
    <row r="55" spans="2:36">
      <c r="B55" s="115" t="s">
        <v>197</v>
      </c>
      <c r="C55" s="115" t="s">
        <v>198</v>
      </c>
      <c r="D55" s="115" t="s">
        <v>109</v>
      </c>
      <c r="E55" s="115" t="s">
        <v>56</v>
      </c>
      <c r="F55" s="115" t="s">
        <v>57</v>
      </c>
      <c r="G55" s="115" t="s">
        <v>111</v>
      </c>
      <c r="H55" s="115">
        <v>2029</v>
      </c>
      <c r="I55" s="122">
        <v>55</v>
      </c>
      <c r="J55" s="122">
        <v>317.45999999999998</v>
      </c>
      <c r="K55" s="123">
        <v>0.41249999999999998</v>
      </c>
      <c r="L55" s="121">
        <f t="shared" si="5"/>
        <v>130.95224999999999</v>
      </c>
      <c r="M55" s="124">
        <v>4.737006</v>
      </c>
      <c r="N55" s="121">
        <f t="shared" si="6"/>
        <v>1503.8099247599998</v>
      </c>
      <c r="O55" s="124">
        <v>12.036579</v>
      </c>
      <c r="P55" s="121">
        <f t="shared" si="7"/>
        <v>1576.2171023527499</v>
      </c>
      <c r="Q55" s="121">
        <f t="shared" si="8"/>
        <v>1540.0135135563748</v>
      </c>
      <c r="R55" s="122">
        <v>31.43</v>
      </c>
      <c r="S55" s="121">
        <f t="shared" si="9"/>
        <v>1571.4435135563749</v>
      </c>
      <c r="T55" s="125">
        <v>19518.93</v>
      </c>
      <c r="U55" s="125">
        <v>18458.77</v>
      </c>
      <c r="V55" s="125">
        <v>19165.16</v>
      </c>
      <c r="W55" s="126">
        <v>2</v>
      </c>
      <c r="X55" s="127" t="b">
        <v>1</v>
      </c>
      <c r="Y55" s="127" t="b">
        <v>0</v>
      </c>
      <c r="Z55" s="115" t="s">
        <v>105</v>
      </c>
      <c r="AA55" s="115" t="s">
        <v>106</v>
      </c>
      <c r="AB55" s="126">
        <v>45</v>
      </c>
      <c r="AC55" s="126">
        <v>2</v>
      </c>
      <c r="AD55" s="128" t="b">
        <v>0</v>
      </c>
      <c r="AE55" s="115" t="s">
        <v>112</v>
      </c>
      <c r="AF55" s="115" t="s">
        <v>113</v>
      </c>
      <c r="AG55" s="115"/>
      <c r="AH55" s="115"/>
      <c r="AI55" s="115"/>
      <c r="AJ55" s="115"/>
    </row>
    <row r="56" spans="2:36">
      <c r="B56" s="115" t="s">
        <v>199</v>
      </c>
      <c r="C56" s="115" t="s">
        <v>200</v>
      </c>
      <c r="D56" s="115" t="s">
        <v>109</v>
      </c>
      <c r="E56" s="115" t="s">
        <v>63</v>
      </c>
      <c r="F56" s="115" t="s">
        <v>47</v>
      </c>
      <c r="G56" s="115" t="s">
        <v>111</v>
      </c>
      <c r="H56" s="115">
        <v>2030</v>
      </c>
      <c r="I56" s="122">
        <v>50</v>
      </c>
      <c r="J56" s="122">
        <v>317.45999999999998</v>
      </c>
      <c r="K56" s="123">
        <v>0.375</v>
      </c>
      <c r="L56" s="121">
        <f t="shared" si="5"/>
        <v>119.04749999999999</v>
      </c>
      <c r="M56" s="124">
        <v>4.2821769999999999</v>
      </c>
      <c r="N56" s="121">
        <f t="shared" si="6"/>
        <v>1359.41991042</v>
      </c>
      <c r="O56" s="124">
        <v>12.040654999999999</v>
      </c>
      <c r="P56" s="121">
        <f t="shared" si="7"/>
        <v>1433.4098761124997</v>
      </c>
      <c r="Q56" s="121">
        <f t="shared" si="8"/>
        <v>1396.4148932662497</v>
      </c>
      <c r="R56" s="122">
        <v>32.14</v>
      </c>
      <c r="S56" s="121">
        <f t="shared" si="9"/>
        <v>1428.5548932662498</v>
      </c>
      <c r="T56" s="125">
        <v>19518.93</v>
      </c>
      <c r="U56" s="125">
        <v>18458.77</v>
      </c>
      <c r="V56" s="125">
        <v>19165.16</v>
      </c>
      <c r="W56" s="126">
        <v>2</v>
      </c>
      <c r="X56" s="127" t="b">
        <v>1</v>
      </c>
      <c r="Y56" s="127" t="b">
        <v>0</v>
      </c>
      <c r="Z56" s="115" t="s">
        <v>105</v>
      </c>
      <c r="AA56" s="115" t="s">
        <v>106</v>
      </c>
      <c r="AB56" s="126">
        <v>45</v>
      </c>
      <c r="AC56" s="126">
        <v>2</v>
      </c>
      <c r="AD56" s="128" t="b">
        <v>0</v>
      </c>
      <c r="AE56" s="115" t="s">
        <v>112</v>
      </c>
      <c r="AF56" s="115" t="s">
        <v>113</v>
      </c>
      <c r="AG56" s="115"/>
      <c r="AH56" s="115"/>
      <c r="AI56" s="115"/>
      <c r="AJ56" s="115"/>
    </row>
    <row r="57" spans="2:36">
      <c r="B57" s="115" t="s">
        <v>201</v>
      </c>
      <c r="C57" s="115" t="s">
        <v>202</v>
      </c>
      <c r="D57" s="115" t="s">
        <v>109</v>
      </c>
      <c r="E57" s="115" t="s">
        <v>72</v>
      </c>
      <c r="F57" s="115" t="s">
        <v>73</v>
      </c>
      <c r="G57" s="115" t="s">
        <v>111</v>
      </c>
      <c r="H57" s="115">
        <v>2032</v>
      </c>
      <c r="I57" s="122">
        <v>50</v>
      </c>
      <c r="J57" s="122">
        <v>317.45999999999998</v>
      </c>
      <c r="K57" s="123">
        <v>0.375</v>
      </c>
      <c r="L57" s="121">
        <f t="shared" si="5"/>
        <v>119.04749999999999</v>
      </c>
      <c r="M57" s="124">
        <v>4.2908080000000002</v>
      </c>
      <c r="N57" s="121">
        <f t="shared" si="6"/>
        <v>1362.1599076800001</v>
      </c>
      <c r="O57" s="124">
        <v>12.137589</v>
      </c>
      <c r="P57" s="121">
        <f t="shared" si="7"/>
        <v>1444.9496264774998</v>
      </c>
      <c r="Q57" s="121">
        <f t="shared" si="8"/>
        <v>1403.55476707875</v>
      </c>
      <c r="R57" s="122">
        <v>25</v>
      </c>
      <c r="S57" s="121">
        <f t="shared" si="9"/>
        <v>1428.55476707875</v>
      </c>
      <c r="T57" s="125">
        <v>19518.93</v>
      </c>
      <c r="U57" s="125">
        <v>18458.77</v>
      </c>
      <c r="V57" s="125">
        <v>19165.16</v>
      </c>
      <c r="W57" s="126">
        <v>2</v>
      </c>
      <c r="X57" s="127" t="b">
        <v>1</v>
      </c>
      <c r="Y57" s="127" t="b">
        <v>0</v>
      </c>
      <c r="Z57" s="115" t="s">
        <v>105</v>
      </c>
      <c r="AA57" s="115" t="s">
        <v>106</v>
      </c>
      <c r="AB57" s="126">
        <v>45</v>
      </c>
      <c r="AC57" s="126">
        <v>2</v>
      </c>
      <c r="AD57" s="128" t="b">
        <v>0</v>
      </c>
      <c r="AE57" s="115" t="s">
        <v>112</v>
      </c>
      <c r="AF57" s="115" t="s">
        <v>113</v>
      </c>
      <c r="AG57" s="115"/>
      <c r="AH57" s="115"/>
      <c r="AI57" s="115"/>
      <c r="AJ57" s="115"/>
    </row>
    <row r="58" spans="2:36">
      <c r="B58" s="115" t="s">
        <v>203</v>
      </c>
      <c r="C58" s="115" t="s">
        <v>204</v>
      </c>
      <c r="D58" s="115" t="s">
        <v>205</v>
      </c>
      <c r="E58" s="115" t="s">
        <v>79</v>
      </c>
      <c r="F58" s="115" t="s">
        <v>47</v>
      </c>
      <c r="G58" s="115" t="s">
        <v>48</v>
      </c>
      <c r="H58" s="115">
        <v>2025</v>
      </c>
      <c r="I58" s="122">
        <v>40</v>
      </c>
      <c r="J58" s="122">
        <v>1538.46</v>
      </c>
      <c r="K58" s="123">
        <v>6.5000000000000002E-2</v>
      </c>
      <c r="L58" s="121">
        <f t="shared" si="5"/>
        <v>99.999900000000011</v>
      </c>
      <c r="M58" s="124">
        <v>0.48140300000000003</v>
      </c>
      <c r="N58" s="121">
        <f t="shared" si="6"/>
        <v>740.61925938000002</v>
      </c>
      <c r="O58" s="124">
        <v>7.7938000000000001</v>
      </c>
      <c r="P58" s="121">
        <f t="shared" si="7"/>
        <v>779.37922062000007</v>
      </c>
      <c r="Q58" s="121">
        <f t="shared" si="8"/>
        <v>759.9992400000001</v>
      </c>
      <c r="R58" s="122">
        <v>40</v>
      </c>
      <c r="S58" s="121">
        <f t="shared" si="9"/>
        <v>799.9992400000001</v>
      </c>
      <c r="T58" s="125">
        <v>38108.31</v>
      </c>
      <c r="U58" s="125">
        <v>40278.300000000003</v>
      </c>
      <c r="V58" s="125">
        <v>321613.39</v>
      </c>
      <c r="W58" s="126">
        <v>2</v>
      </c>
      <c r="X58" s="127" t="b">
        <v>1</v>
      </c>
      <c r="Y58" s="127" t="b">
        <v>0</v>
      </c>
      <c r="Z58" s="115" t="s">
        <v>105</v>
      </c>
      <c r="AA58" s="115" t="s">
        <v>106</v>
      </c>
      <c r="AB58" s="126">
        <v>45</v>
      </c>
      <c r="AC58" s="126">
        <v>2</v>
      </c>
      <c r="AD58" s="128" t="b">
        <v>0</v>
      </c>
      <c r="AE58" s="115" t="s">
        <v>206</v>
      </c>
      <c r="AF58" s="115" t="s">
        <v>207</v>
      </c>
      <c r="AG58" s="115"/>
      <c r="AH58" s="115"/>
      <c r="AI58" s="115"/>
      <c r="AJ58" s="115"/>
    </row>
    <row r="59" spans="2:36">
      <c r="B59" s="115" t="s">
        <v>208</v>
      </c>
      <c r="C59" s="115" t="s">
        <v>209</v>
      </c>
      <c r="D59" s="115" t="s">
        <v>205</v>
      </c>
      <c r="E59" s="115" t="s">
        <v>86</v>
      </c>
      <c r="F59" s="115" t="s">
        <v>73</v>
      </c>
      <c r="G59" s="115" t="s">
        <v>48</v>
      </c>
      <c r="H59" s="115">
        <v>2026</v>
      </c>
      <c r="I59" s="122">
        <v>40</v>
      </c>
      <c r="J59" s="122">
        <v>1538.46</v>
      </c>
      <c r="K59" s="123">
        <v>6.5000000000000002E-2</v>
      </c>
      <c r="L59" s="121">
        <f t="shared" si="5"/>
        <v>99.999900000000011</v>
      </c>
      <c r="M59" s="124">
        <v>0.47865999999999997</v>
      </c>
      <c r="N59" s="121">
        <f t="shared" si="6"/>
        <v>736.39926359999993</v>
      </c>
      <c r="O59" s="124">
        <v>7.7960000000000003</v>
      </c>
      <c r="P59" s="121">
        <f t="shared" si="7"/>
        <v>779.59922040000015</v>
      </c>
      <c r="Q59" s="121">
        <f t="shared" si="8"/>
        <v>757.99924200000009</v>
      </c>
      <c r="R59" s="122">
        <v>42</v>
      </c>
      <c r="S59" s="121">
        <f t="shared" si="9"/>
        <v>799.99924200000009</v>
      </c>
      <c r="T59" s="125">
        <v>38108.31</v>
      </c>
      <c r="U59" s="125">
        <v>40278.300000000003</v>
      </c>
      <c r="V59" s="125">
        <v>321613.39</v>
      </c>
      <c r="W59" s="126">
        <v>2</v>
      </c>
      <c r="X59" s="127" t="b">
        <v>1</v>
      </c>
      <c r="Y59" s="127" t="b">
        <v>0</v>
      </c>
      <c r="Z59" s="115" t="s">
        <v>105</v>
      </c>
      <c r="AA59" s="115" t="s">
        <v>106</v>
      </c>
      <c r="AB59" s="126">
        <v>45</v>
      </c>
      <c r="AC59" s="126">
        <v>2</v>
      </c>
      <c r="AD59" s="128" t="b">
        <v>0</v>
      </c>
      <c r="AE59" s="115" t="s">
        <v>206</v>
      </c>
      <c r="AF59" s="115" t="s">
        <v>207</v>
      </c>
      <c r="AG59" s="115"/>
      <c r="AH59" s="115"/>
      <c r="AI59" s="115"/>
      <c r="AJ59" s="115"/>
    </row>
    <row r="60" spans="2:36">
      <c r="B60" s="115" t="s">
        <v>210</v>
      </c>
      <c r="C60" s="115" t="s">
        <v>211</v>
      </c>
      <c r="D60" s="115" t="s">
        <v>205</v>
      </c>
      <c r="E60" s="115" t="s">
        <v>92</v>
      </c>
      <c r="F60" s="115" t="s">
        <v>47</v>
      </c>
      <c r="G60" s="115" t="s">
        <v>48</v>
      </c>
      <c r="H60" s="115">
        <v>2027</v>
      </c>
      <c r="I60" s="122">
        <v>40</v>
      </c>
      <c r="J60" s="122">
        <v>1538.46</v>
      </c>
      <c r="K60" s="123">
        <v>6.5000000000000002E-2</v>
      </c>
      <c r="L60" s="121">
        <f t="shared" si="5"/>
        <v>99.999900000000011</v>
      </c>
      <c r="M60" s="124">
        <v>0.47970000000000002</v>
      </c>
      <c r="N60" s="121">
        <f t="shared" si="6"/>
        <v>737.99926200000004</v>
      </c>
      <c r="O60" s="124">
        <v>7.86</v>
      </c>
      <c r="P60" s="121">
        <f t="shared" si="7"/>
        <v>785.99921400000017</v>
      </c>
      <c r="Q60" s="121">
        <f t="shared" si="8"/>
        <v>761.9992380000001</v>
      </c>
      <c r="R60" s="122">
        <v>38</v>
      </c>
      <c r="S60" s="121">
        <f t="shared" si="9"/>
        <v>799.9992380000001</v>
      </c>
      <c r="T60" s="125">
        <v>38108.31</v>
      </c>
      <c r="U60" s="125">
        <v>40278.300000000003</v>
      </c>
      <c r="V60" s="125">
        <v>321613.39</v>
      </c>
      <c r="W60" s="126">
        <v>2</v>
      </c>
      <c r="X60" s="127" t="b">
        <v>1</v>
      </c>
      <c r="Y60" s="127" t="b">
        <v>0</v>
      </c>
      <c r="Z60" s="115" t="s">
        <v>105</v>
      </c>
      <c r="AA60" s="115" t="s">
        <v>106</v>
      </c>
      <c r="AB60" s="126">
        <v>45</v>
      </c>
      <c r="AC60" s="126">
        <v>2</v>
      </c>
      <c r="AD60" s="128" t="b">
        <v>0</v>
      </c>
      <c r="AE60" s="115" t="s">
        <v>206</v>
      </c>
      <c r="AF60" s="115" t="s">
        <v>207</v>
      </c>
      <c r="AG60" s="115"/>
      <c r="AH60" s="115"/>
      <c r="AI60" s="115"/>
      <c r="AJ60" s="115"/>
    </row>
    <row r="61" spans="2:36">
      <c r="B61" s="115" t="s">
        <v>212</v>
      </c>
      <c r="C61" s="115" t="s">
        <v>213</v>
      </c>
      <c r="D61" s="115" t="s">
        <v>205</v>
      </c>
      <c r="E61" s="115" t="s">
        <v>98</v>
      </c>
      <c r="F61" s="115" t="s">
        <v>47</v>
      </c>
      <c r="G61" s="115" t="s">
        <v>48</v>
      </c>
      <c r="H61" s="115">
        <v>2028</v>
      </c>
      <c r="I61" s="122">
        <v>40</v>
      </c>
      <c r="J61" s="122">
        <v>1153.8499999999999</v>
      </c>
      <c r="K61" s="123">
        <v>8.6699999999999999E-2</v>
      </c>
      <c r="L61" s="121">
        <f t="shared" si="5"/>
        <v>100.03879499999999</v>
      </c>
      <c r="M61" s="124">
        <v>0.63594099999999998</v>
      </c>
      <c r="N61" s="121">
        <f t="shared" si="6"/>
        <v>733.7805228499999</v>
      </c>
      <c r="O61" s="124">
        <v>7.8590559999999998</v>
      </c>
      <c r="P61" s="121">
        <f t="shared" si="7"/>
        <v>786.21049207751992</v>
      </c>
      <c r="Q61" s="121">
        <f t="shared" si="8"/>
        <v>759.99550746375985</v>
      </c>
      <c r="R61" s="122">
        <v>40</v>
      </c>
      <c r="S61" s="121">
        <f t="shared" si="9"/>
        <v>799.99550746375985</v>
      </c>
      <c r="T61" s="125">
        <v>28581.24</v>
      </c>
      <c r="U61" s="125">
        <v>30208.720000000001</v>
      </c>
      <c r="V61" s="125">
        <v>241210.04</v>
      </c>
      <c r="W61" s="126">
        <v>2</v>
      </c>
      <c r="X61" s="127" t="b">
        <v>1</v>
      </c>
      <c r="Y61" s="127" t="b">
        <v>0</v>
      </c>
      <c r="Z61" s="115" t="s">
        <v>105</v>
      </c>
      <c r="AA61" s="115" t="s">
        <v>106</v>
      </c>
      <c r="AB61" s="126">
        <v>45</v>
      </c>
      <c r="AC61" s="126">
        <v>2</v>
      </c>
      <c r="AD61" s="128" t="b">
        <v>0</v>
      </c>
      <c r="AE61" s="115" t="s">
        <v>206</v>
      </c>
      <c r="AF61" s="115" t="s">
        <v>207</v>
      </c>
      <c r="AG61" s="115"/>
      <c r="AH61" s="115"/>
      <c r="AI61" s="115"/>
      <c r="AJ61" s="115"/>
    </row>
    <row r="62" spans="2:36">
      <c r="B62" s="115" t="s">
        <v>214</v>
      </c>
      <c r="C62" s="115" t="s">
        <v>215</v>
      </c>
      <c r="D62" s="115" t="s">
        <v>205</v>
      </c>
      <c r="E62" s="115" t="s">
        <v>103</v>
      </c>
      <c r="F62" s="115" t="s">
        <v>104</v>
      </c>
      <c r="G62" s="115" t="s">
        <v>48</v>
      </c>
      <c r="H62" s="115">
        <v>2029</v>
      </c>
      <c r="I62" s="122">
        <v>35</v>
      </c>
      <c r="J62" s="122">
        <v>1153.8499999999999</v>
      </c>
      <c r="K62" s="123">
        <v>7.5800000000000006E-2</v>
      </c>
      <c r="L62" s="121">
        <f t="shared" si="5"/>
        <v>87.461830000000006</v>
      </c>
      <c r="M62" s="124">
        <v>0.56015899999999996</v>
      </c>
      <c r="N62" s="121">
        <f t="shared" si="6"/>
        <v>646.33946214999992</v>
      </c>
      <c r="O62" s="124">
        <v>7.7768119999999996</v>
      </c>
      <c r="P62" s="121">
        <f t="shared" si="7"/>
        <v>680.17420908596</v>
      </c>
      <c r="Q62" s="121">
        <f t="shared" si="8"/>
        <v>663.25683561797996</v>
      </c>
      <c r="R62" s="122">
        <v>36.75</v>
      </c>
      <c r="S62" s="121">
        <f t="shared" si="9"/>
        <v>700.00683561797996</v>
      </c>
      <c r="T62" s="125">
        <v>28581.24</v>
      </c>
      <c r="U62" s="125">
        <v>30208.720000000001</v>
      </c>
      <c r="V62" s="125">
        <v>241210.04</v>
      </c>
      <c r="W62" s="126">
        <v>2</v>
      </c>
      <c r="X62" s="127" t="b">
        <v>1</v>
      </c>
      <c r="Y62" s="127" t="b">
        <v>0</v>
      </c>
      <c r="Z62" s="115" t="s">
        <v>105</v>
      </c>
      <c r="AA62" s="115" t="s">
        <v>106</v>
      </c>
      <c r="AB62" s="126">
        <v>45</v>
      </c>
      <c r="AC62" s="126">
        <v>2</v>
      </c>
      <c r="AD62" s="128" t="b">
        <v>0</v>
      </c>
      <c r="AE62" s="115" t="s">
        <v>206</v>
      </c>
      <c r="AF62" s="115" t="s">
        <v>207</v>
      </c>
      <c r="AG62" s="115"/>
      <c r="AH62" s="115"/>
      <c r="AI62" s="115"/>
      <c r="AJ62" s="115"/>
    </row>
    <row r="63" spans="2:36">
      <c r="B63" s="115" t="s">
        <v>216</v>
      </c>
      <c r="C63" s="115" t="s">
        <v>217</v>
      </c>
      <c r="D63" s="115" t="s">
        <v>205</v>
      </c>
      <c r="E63" s="115" t="s">
        <v>110</v>
      </c>
      <c r="F63" s="115" t="s">
        <v>47</v>
      </c>
      <c r="G63" s="115" t="s">
        <v>48</v>
      </c>
      <c r="H63" s="115">
        <v>2030</v>
      </c>
      <c r="I63" s="122">
        <v>35</v>
      </c>
      <c r="J63" s="122">
        <v>1153.8499999999999</v>
      </c>
      <c r="K63" s="123">
        <v>7.5800000000000006E-2</v>
      </c>
      <c r="L63" s="121">
        <f t="shared" si="5"/>
        <v>87.461830000000006</v>
      </c>
      <c r="M63" s="124">
        <v>0.56138100000000002</v>
      </c>
      <c r="N63" s="121">
        <f t="shared" si="6"/>
        <v>647.74946684999998</v>
      </c>
      <c r="O63" s="124">
        <v>7.8407270000000002</v>
      </c>
      <c r="P63" s="121">
        <f t="shared" si="7"/>
        <v>685.76433195041011</v>
      </c>
      <c r="Q63" s="121">
        <f t="shared" si="8"/>
        <v>666.75689940020504</v>
      </c>
      <c r="R63" s="122">
        <v>33.25</v>
      </c>
      <c r="S63" s="121">
        <f t="shared" si="9"/>
        <v>700.00689940020504</v>
      </c>
      <c r="T63" s="125">
        <v>28581.24</v>
      </c>
      <c r="U63" s="125">
        <v>30208.720000000001</v>
      </c>
      <c r="V63" s="125">
        <v>241210.04</v>
      </c>
      <c r="W63" s="126">
        <v>2</v>
      </c>
      <c r="X63" s="127" t="b">
        <v>1</v>
      </c>
      <c r="Y63" s="127" t="b">
        <v>0</v>
      </c>
      <c r="Z63" s="115" t="s">
        <v>105</v>
      </c>
      <c r="AA63" s="115" t="s">
        <v>106</v>
      </c>
      <c r="AB63" s="126">
        <v>45</v>
      </c>
      <c r="AC63" s="126">
        <v>2</v>
      </c>
      <c r="AD63" s="128" t="b">
        <v>0</v>
      </c>
      <c r="AE63" s="115" t="s">
        <v>206</v>
      </c>
      <c r="AF63" s="115" t="s">
        <v>207</v>
      </c>
      <c r="AG63" s="115"/>
      <c r="AH63" s="115"/>
      <c r="AI63" s="115"/>
      <c r="AJ63" s="115"/>
    </row>
    <row r="64" spans="2:36">
      <c r="B64" s="115" t="s">
        <v>218</v>
      </c>
      <c r="C64" s="115" t="s">
        <v>219</v>
      </c>
      <c r="D64" s="115" t="s">
        <v>205</v>
      </c>
      <c r="E64" s="115" t="s">
        <v>116</v>
      </c>
      <c r="F64" s="115" t="s">
        <v>73</v>
      </c>
      <c r="G64" s="115" t="s">
        <v>48</v>
      </c>
      <c r="H64" s="115">
        <v>2031</v>
      </c>
      <c r="I64" s="122">
        <v>35</v>
      </c>
      <c r="J64" s="122">
        <v>1153.8499999999999</v>
      </c>
      <c r="K64" s="123">
        <v>7.5800000000000006E-2</v>
      </c>
      <c r="L64" s="121">
        <f t="shared" si="5"/>
        <v>87.461830000000006</v>
      </c>
      <c r="M64" s="124">
        <v>0.55817499999999998</v>
      </c>
      <c r="N64" s="121">
        <f t="shared" si="6"/>
        <v>644.05022374999987</v>
      </c>
      <c r="O64" s="124">
        <v>7.8430140000000002</v>
      </c>
      <c r="P64" s="121">
        <f t="shared" si="7"/>
        <v>685.96435715562006</v>
      </c>
      <c r="Q64" s="121">
        <f t="shared" si="8"/>
        <v>665.00729045280991</v>
      </c>
      <c r="R64" s="122">
        <v>35</v>
      </c>
      <c r="S64" s="121">
        <f t="shared" si="9"/>
        <v>700.00729045280991</v>
      </c>
      <c r="T64" s="125">
        <v>28581.24</v>
      </c>
      <c r="U64" s="125">
        <v>30208.720000000001</v>
      </c>
      <c r="V64" s="125">
        <v>241210.04</v>
      </c>
      <c r="W64" s="126">
        <v>2</v>
      </c>
      <c r="X64" s="127" t="b">
        <v>1</v>
      </c>
      <c r="Y64" s="127" t="b">
        <v>0</v>
      </c>
      <c r="Z64" s="115" t="s">
        <v>105</v>
      </c>
      <c r="AA64" s="115" t="s">
        <v>106</v>
      </c>
      <c r="AB64" s="126">
        <v>45</v>
      </c>
      <c r="AC64" s="126">
        <v>2</v>
      </c>
      <c r="AD64" s="128" t="b">
        <v>0</v>
      </c>
      <c r="AE64" s="115" t="s">
        <v>206</v>
      </c>
      <c r="AF64" s="115" t="s">
        <v>207</v>
      </c>
      <c r="AG64" s="115"/>
      <c r="AH64" s="115"/>
      <c r="AI64" s="115"/>
      <c r="AJ64" s="115"/>
    </row>
    <row r="65" spans="1:64">
      <c r="B65" s="115" t="s">
        <v>220</v>
      </c>
      <c r="C65" s="115" t="s">
        <v>221</v>
      </c>
      <c r="D65" s="115" t="s">
        <v>205</v>
      </c>
      <c r="E65" s="115" t="s">
        <v>119</v>
      </c>
      <c r="F65" s="115" t="s">
        <v>47</v>
      </c>
      <c r="G65" s="115" t="s">
        <v>48</v>
      </c>
      <c r="H65" s="115">
        <v>2032</v>
      </c>
      <c r="I65" s="122">
        <v>35</v>
      </c>
      <c r="J65" s="122">
        <v>769.23</v>
      </c>
      <c r="K65" s="123">
        <v>0.11380000000000001</v>
      </c>
      <c r="L65" s="121">
        <f t="shared" si="5"/>
        <v>87.538374000000005</v>
      </c>
      <c r="M65" s="124">
        <v>0.83248200000000006</v>
      </c>
      <c r="N65" s="121">
        <f t="shared" si="6"/>
        <v>640.37012886000002</v>
      </c>
      <c r="O65" s="124">
        <v>7.8379029999999998</v>
      </c>
      <c r="P65" s="121">
        <f t="shared" si="7"/>
        <v>686.117284189722</v>
      </c>
      <c r="Q65" s="121">
        <f t="shared" si="8"/>
        <v>663.24370652486095</v>
      </c>
      <c r="R65" s="122">
        <v>36.75</v>
      </c>
      <c r="S65" s="121">
        <f t="shared" si="9"/>
        <v>699.99370652486095</v>
      </c>
      <c r="T65" s="125">
        <v>19054.16</v>
      </c>
      <c r="U65" s="125">
        <v>20139.150000000001</v>
      </c>
      <c r="V65" s="125">
        <v>160806.69</v>
      </c>
      <c r="W65" s="126">
        <v>2</v>
      </c>
      <c r="X65" s="127" t="b">
        <v>1</v>
      </c>
      <c r="Y65" s="127" t="b">
        <v>0</v>
      </c>
      <c r="Z65" s="115" t="s">
        <v>105</v>
      </c>
      <c r="AA65" s="115" t="s">
        <v>106</v>
      </c>
      <c r="AB65" s="126">
        <v>45</v>
      </c>
      <c r="AC65" s="126">
        <v>2</v>
      </c>
      <c r="AD65" s="128" t="b">
        <v>0</v>
      </c>
      <c r="AE65" s="115" t="s">
        <v>206</v>
      </c>
      <c r="AF65" s="115" t="s">
        <v>207</v>
      </c>
      <c r="AG65" s="115"/>
      <c r="AH65" s="115"/>
      <c r="AI65" s="115"/>
      <c r="AJ65" s="115"/>
    </row>
    <row r="66" spans="1:64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64" ht="18">
      <c r="A67" t="s">
        <v>11</v>
      </c>
      <c r="B67" s="73"/>
      <c r="C67" s="21"/>
      <c r="D67" s="21"/>
      <c r="E67" s="21"/>
      <c r="F67" s="21"/>
      <c r="G67" s="21"/>
      <c r="H67" s="21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U67" s="22"/>
      <c r="AV67" s="22"/>
      <c r="AW67" s="22"/>
      <c r="AX67" s="22"/>
      <c r="AY67" s="22"/>
      <c r="AZ67" s="22"/>
      <c r="BA67" s="22"/>
      <c r="BB67" s="22"/>
      <c r="BC67" s="22"/>
      <c r="BD67" s="22"/>
      <c r="BE67" s="22"/>
      <c r="BF67" s="22"/>
      <c r="BG67" s="22"/>
      <c r="BH67" s="22"/>
      <c r="BI67" s="22"/>
      <c r="BJ67" s="22"/>
      <c r="BK67" s="22"/>
      <c r="BL67" s="22"/>
    </row>
    <row r="68" spans="1:64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64" hidden="1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64" hidden="1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64" hidden="1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64" hidden="1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64" hidden="1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64" hidden="1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64" hidden="1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64" hidden="1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64" hidden="1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64" hidden="1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64" hidden="1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64" hidden="1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2:27" hidden="1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2:27" hidden="1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2:27" hidden="1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2:27" hidden="1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2:27" hidden="1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2:27" hidden="1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2:27" hidden="1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2:27" hidden="1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2:27" hidden="1"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2:27" hidden="1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2:27" hidden="1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2:27" hidden="1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2:27" hidden="1"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2:27" hidden="1"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2:27" hidden="1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2:27" hidden="1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2:27" hidden="1"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2:27" hidden="1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2:27" hidden="1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2:27" hidden="1"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2:27" hidden="1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2:27" hidden="1"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2:27" hidden="1"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2:27" hidden="1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L104"/>
  <sheetViews>
    <sheetView showGridLines="0" workbookViewId="0"/>
  </sheetViews>
  <sheetFormatPr baseColWidth="10" defaultColWidth="0" defaultRowHeight="14" zeroHeight="1"/>
  <cols>
    <col min="1" max="1" width="2.83203125" customWidth="1"/>
    <col min="2" max="2" width="15.1640625" customWidth="1"/>
    <col min="3" max="3" width="26.33203125" customWidth="1"/>
    <col min="4" max="4" width="16.6640625" customWidth="1"/>
    <col min="5" max="5" width="13.5" customWidth="1"/>
    <col min="6" max="8" width="24.83203125" customWidth="1"/>
    <col min="9" max="9" width="22.1640625" customWidth="1"/>
    <col min="10" max="10" width="35" customWidth="1"/>
    <col min="11" max="13" width="10.33203125" customWidth="1"/>
    <col min="14" max="14" width="8.83203125" customWidth="1"/>
    <col min="15" max="15" width="8.83203125" hidden="1" customWidth="1"/>
    <col min="16" max="64" width="0" hidden="1" customWidth="1"/>
    <col min="65" max="16384" width="8.83203125" hidden="1"/>
  </cols>
  <sheetData>
    <row r="1" spans="1:63" ht="47" customHeight="1">
      <c r="A1" s="132" t="s">
        <v>222</v>
      </c>
      <c r="B1" s="21"/>
      <c r="C1" s="21"/>
      <c r="D1" s="21"/>
      <c r="E1" s="21"/>
      <c r="F1" s="21"/>
      <c r="G1" s="21"/>
      <c r="H1" s="22"/>
      <c r="I1" s="22"/>
      <c r="J1" s="22"/>
      <c r="K1" s="22"/>
      <c r="L1" s="22"/>
      <c r="M1" s="22"/>
      <c r="N1" s="22"/>
      <c r="O1" s="119"/>
      <c r="P1" s="119"/>
      <c r="Q1" s="119"/>
      <c r="R1" s="119"/>
      <c r="S1" s="119"/>
      <c r="T1" s="119"/>
      <c r="U1" s="119"/>
      <c r="V1" s="119"/>
      <c r="W1" s="119"/>
      <c r="X1" s="119"/>
      <c r="Y1" s="119"/>
      <c r="Z1" s="119"/>
      <c r="AA1" s="119"/>
      <c r="AB1" s="119"/>
      <c r="AC1" s="119"/>
      <c r="AD1" s="119"/>
      <c r="AE1" s="119"/>
      <c r="AF1" s="119"/>
      <c r="AG1" s="119"/>
      <c r="AH1" s="119"/>
      <c r="AI1" s="119"/>
      <c r="AJ1" s="119"/>
      <c r="AK1" s="119"/>
      <c r="AL1" s="119"/>
      <c r="AM1" s="119"/>
      <c r="AN1" s="119"/>
      <c r="AO1" s="119"/>
      <c r="AP1" s="119"/>
      <c r="AQ1" s="119"/>
      <c r="AR1" s="119"/>
      <c r="AS1" s="119"/>
      <c r="AT1" s="119"/>
      <c r="AU1" s="119"/>
      <c r="AV1" s="119"/>
      <c r="AW1" s="119"/>
      <c r="AX1" s="119"/>
      <c r="AY1" s="119"/>
      <c r="AZ1" s="119"/>
      <c r="BA1" s="119"/>
      <c r="BB1" s="119"/>
      <c r="BC1" s="119"/>
      <c r="BD1" s="119"/>
      <c r="BE1" s="119"/>
      <c r="BF1" s="119"/>
      <c r="BG1" s="119"/>
      <c r="BH1" s="119"/>
      <c r="BI1" s="119"/>
      <c r="BJ1" s="119"/>
      <c r="BK1" s="119"/>
    </row>
    <row r="2" spans="1:63" ht="15">
      <c r="A2" s="34" t="s">
        <v>223</v>
      </c>
      <c r="B2" s="25"/>
      <c r="C2" s="26"/>
      <c r="D2" s="25"/>
      <c r="E2" s="27"/>
      <c r="F2" s="24"/>
      <c r="G2" s="24"/>
      <c r="H2" s="24"/>
      <c r="I2" s="24"/>
      <c r="J2" s="24"/>
      <c r="K2" s="24"/>
      <c r="L2" s="24"/>
      <c r="M2" s="24"/>
      <c r="N2" s="24"/>
      <c r="O2" s="129"/>
      <c r="P2" s="129"/>
      <c r="Q2" s="129"/>
      <c r="R2" s="129"/>
      <c r="S2" s="129"/>
      <c r="T2" s="129"/>
      <c r="U2" s="129"/>
      <c r="V2" s="129"/>
      <c r="W2" s="129"/>
      <c r="X2" s="129"/>
      <c r="Y2" s="129"/>
      <c r="Z2" s="129"/>
      <c r="AA2" s="129"/>
      <c r="AB2" s="129"/>
      <c r="AC2" s="129"/>
      <c r="AD2" s="129"/>
      <c r="AE2" s="129"/>
      <c r="AF2" s="129"/>
      <c r="AG2" s="129"/>
      <c r="AH2" s="129"/>
      <c r="AI2" s="129"/>
      <c r="AJ2" s="129"/>
      <c r="AK2" s="129"/>
      <c r="AL2" s="129"/>
      <c r="AM2" s="129"/>
      <c r="AN2" s="129"/>
      <c r="AO2" s="129"/>
      <c r="AP2" s="129"/>
      <c r="AQ2" s="129"/>
      <c r="AR2" s="129"/>
      <c r="AS2" s="129"/>
      <c r="AT2" s="129"/>
      <c r="AU2" s="129"/>
      <c r="AV2" s="129"/>
      <c r="AW2" s="129"/>
      <c r="AX2" s="129"/>
      <c r="AY2" s="129"/>
      <c r="AZ2" s="129"/>
      <c r="BA2" s="129"/>
      <c r="BB2" s="129"/>
      <c r="BC2" s="129"/>
      <c r="BD2" s="129"/>
      <c r="BE2" s="129"/>
      <c r="BF2" s="129"/>
      <c r="BG2" s="129"/>
      <c r="BH2" s="129"/>
      <c r="BI2" s="129"/>
      <c r="BJ2" s="129"/>
      <c r="BK2" s="129"/>
    </row>
    <row r="3" spans="1:63"/>
    <row r="4" spans="1:63" ht="15">
      <c r="A4" t="s">
        <v>11</v>
      </c>
      <c r="B4" s="32" t="s">
        <v>224</v>
      </c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</row>
    <row r="5" spans="1:63" ht="18" customHeight="1">
      <c r="B5" s="114" t="s">
        <v>12</v>
      </c>
      <c r="C5" s="114" t="s">
        <v>13</v>
      </c>
      <c r="D5" s="114" t="s">
        <v>14</v>
      </c>
      <c r="E5" s="133" t="s">
        <v>20</v>
      </c>
      <c r="F5" s="133" t="s">
        <v>30</v>
      </c>
      <c r="G5" s="133" t="s">
        <v>31</v>
      </c>
      <c r="H5" s="133" t="s">
        <v>32</v>
      </c>
      <c r="I5" s="133" t="s">
        <v>225</v>
      </c>
      <c r="J5" s="133" t="s">
        <v>226</v>
      </c>
      <c r="K5" s="134" t="s">
        <v>227</v>
      </c>
      <c r="L5" s="134" t="s">
        <v>228</v>
      </c>
      <c r="M5" s="134" t="s">
        <v>229</v>
      </c>
      <c r="N5" s="79"/>
      <c r="O5" s="79"/>
      <c r="P5" s="79"/>
      <c r="Q5" s="4"/>
      <c r="R5" s="4"/>
      <c r="S5" s="4"/>
      <c r="T5" s="4"/>
      <c r="U5" s="4"/>
      <c r="V5" s="4"/>
      <c r="W5" s="4"/>
      <c r="X5" s="4"/>
      <c r="Y5" s="4"/>
      <c r="Z5" s="4"/>
      <c r="AA5" s="4"/>
    </row>
    <row r="6" spans="1:63" ht="14" customHeight="1">
      <c r="B6" s="9" t="str">
        <f>'01_Portfolio_Input'!B6</f>
        <v>CIB001</v>
      </c>
      <c r="C6" s="9" t="str">
        <f>'01_Portfolio_Input'!C6</f>
        <v>Helios Steel Group</v>
      </c>
      <c r="D6" s="9" t="str">
        <f>'01_Portfolio_Input'!D6</f>
        <v>Steel</v>
      </c>
      <c r="E6" s="10">
        <f>'01_Portfolio_Input'!J6</f>
        <v>6602.87</v>
      </c>
      <c r="F6" s="10">
        <f>'01_Portfolio_Input'!T6</f>
        <v>7765803.2599999998</v>
      </c>
      <c r="G6" s="10">
        <f>'01_Portfolio_Input'!U6</f>
        <v>2114183.7000000002</v>
      </c>
      <c r="H6" s="10">
        <f>'01_Portfolio_Input'!V6</f>
        <v>2665467.59</v>
      </c>
      <c r="I6" s="2">
        <f t="shared" ref="I6:I37" si="0">SUM(F6:H6)</f>
        <v>12545454.550000001</v>
      </c>
      <c r="J6" s="130">
        <f t="shared" ref="J6:J37" si="1">IFERROR(I6/E6,0)</f>
        <v>1900.0002347464058</v>
      </c>
      <c r="K6" s="3">
        <f t="shared" ref="K6:K37" si="2">IFERROR(F6/I6,0)</f>
        <v>0.61901330310905311</v>
      </c>
      <c r="L6" s="3">
        <f t="shared" ref="L6:L37" si="3">IFERROR(G6/I6,0)</f>
        <v>0.16852188906937612</v>
      </c>
      <c r="M6" s="3">
        <f t="shared" ref="M6:M37" si="4">IFERROR(H6/I6,0)</f>
        <v>0.21246480782157071</v>
      </c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spans="1:63" ht="14" customHeight="1">
      <c r="B7" s="9" t="str">
        <f>'01_Portfolio_Input'!B7</f>
        <v>CIB002</v>
      </c>
      <c r="C7" s="9" t="str">
        <f>'01_Portfolio_Input'!C7</f>
        <v>Aster Energy Holdings</v>
      </c>
      <c r="D7" s="9" t="str">
        <f>'01_Portfolio_Input'!D7</f>
        <v>Oil &amp; Gas</v>
      </c>
      <c r="E7" s="10">
        <f>'01_Portfolio_Input'!J7</f>
        <v>5422.22</v>
      </c>
      <c r="F7" s="10">
        <f>'01_Portfolio_Input'!T7</f>
        <v>1157967.03</v>
      </c>
      <c r="G7" s="10">
        <f>'01_Portfolio_Input'!U7</f>
        <v>333792.15000000002</v>
      </c>
      <c r="H7" s="10">
        <f>'01_Portfolio_Input'!V7</f>
        <v>12063796.380000001</v>
      </c>
      <c r="I7" s="2">
        <f t="shared" si="0"/>
        <v>13555555.560000001</v>
      </c>
      <c r="J7" s="130">
        <f t="shared" si="1"/>
        <v>2500.0010254102563</v>
      </c>
      <c r="K7" s="3">
        <f t="shared" si="2"/>
        <v>8.5423797267074164E-2</v>
      </c>
      <c r="L7" s="3">
        <f t="shared" si="3"/>
        <v>2.4624011057500325E-2</v>
      </c>
      <c r="M7" s="3">
        <f t="shared" si="4"/>
        <v>0.8899521916754255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</row>
    <row r="8" spans="1:63" ht="14" customHeight="1">
      <c r="B8" s="9" t="str">
        <f>'01_Portfolio_Input'!B8</f>
        <v>CIB003</v>
      </c>
      <c r="C8" s="9" t="str">
        <f>'01_Portfolio_Input'!C8</f>
        <v>Orion Grid Infrastructure</v>
      </c>
      <c r="D8" s="9" t="str">
        <f>'01_Portfolio_Input'!D8</f>
        <v>Power &amp; Utilities</v>
      </c>
      <c r="E8" s="10">
        <f>'01_Portfolio_Input'!J8</f>
        <v>9062.5</v>
      </c>
      <c r="F8" s="10">
        <f>'01_Portfolio_Input'!T8</f>
        <v>10337412.75</v>
      </c>
      <c r="G8" s="10">
        <f>'01_Portfolio_Input'!U8</f>
        <v>718819.12</v>
      </c>
      <c r="H8" s="10">
        <f>'01_Portfolio_Input'!V8</f>
        <v>3443768.13</v>
      </c>
      <c r="I8" s="2">
        <f t="shared" si="0"/>
        <v>14500000</v>
      </c>
      <c r="J8" s="130">
        <f t="shared" si="1"/>
        <v>1600</v>
      </c>
      <c r="K8" s="3">
        <f t="shared" si="2"/>
        <v>0.71292501724137936</v>
      </c>
      <c r="L8" s="3">
        <f t="shared" si="3"/>
        <v>4.9573732413793106E-2</v>
      </c>
      <c r="M8" s="3">
        <f t="shared" si="4"/>
        <v>0.23750125034482758</v>
      </c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</row>
    <row r="9" spans="1:63" ht="14" customHeight="1">
      <c r="B9" s="9" t="str">
        <f>'01_Portfolio_Input'!B9</f>
        <v>CIB004</v>
      </c>
      <c r="C9" s="9" t="str">
        <f>'01_Portfolio_Input'!C9</f>
        <v>Nova Cement Materials</v>
      </c>
      <c r="D9" s="9" t="str">
        <f>'01_Portfolio_Input'!D9</f>
        <v>Cement</v>
      </c>
      <c r="E9" s="10">
        <f>'01_Portfolio_Input'!J9</f>
        <v>4909.09</v>
      </c>
      <c r="F9" s="10">
        <f>'01_Portfolio_Input'!T9</f>
        <v>8533354.3399999999</v>
      </c>
      <c r="G9" s="10">
        <f>'01_Portfolio_Input'!U9</f>
        <v>879928.26</v>
      </c>
      <c r="H9" s="10">
        <f>'01_Portfolio_Input'!V9</f>
        <v>1386717.4</v>
      </c>
      <c r="I9" s="2">
        <f t="shared" si="0"/>
        <v>10800000</v>
      </c>
      <c r="J9" s="130">
        <f t="shared" si="1"/>
        <v>2200.0004074074827</v>
      </c>
      <c r="K9" s="3">
        <f t="shared" si="2"/>
        <v>0.79012540185185187</v>
      </c>
      <c r="L9" s="3">
        <f t="shared" si="3"/>
        <v>8.1474838888888887E-2</v>
      </c>
      <c r="M9" s="3">
        <f t="shared" si="4"/>
        <v>0.12839975925925926</v>
      </c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</row>
    <row r="10" spans="1:63" ht="14" customHeight="1">
      <c r="B10" s="9" t="str">
        <f>'01_Portfolio_Input'!B10</f>
        <v>CIB005</v>
      </c>
      <c r="C10" s="9" t="str">
        <f>'01_Portfolio_Input'!C10</f>
        <v>Mariner Aviation Systems</v>
      </c>
      <c r="D10" s="9" t="str">
        <f>'01_Portfolio_Input'!D10</f>
        <v>Aviation</v>
      </c>
      <c r="E10" s="10">
        <f>'01_Portfolio_Input'!J10</f>
        <v>4656.8599999999997</v>
      </c>
      <c r="F10" s="10">
        <f>'01_Portfolio_Input'!T10</f>
        <v>6753018.9299999997</v>
      </c>
      <c r="G10" s="10">
        <f>'01_Portfolio_Input'!U10</f>
        <v>243325.65</v>
      </c>
      <c r="H10" s="10">
        <f>'01_Portfolio_Input'!V10</f>
        <v>920322.08</v>
      </c>
      <c r="I10" s="2">
        <f t="shared" si="0"/>
        <v>7916666.6600000001</v>
      </c>
      <c r="J10" s="130">
        <f t="shared" si="1"/>
        <v>1700.0010006742743</v>
      </c>
      <c r="K10" s="3">
        <f t="shared" si="2"/>
        <v>0.85301291819201086</v>
      </c>
      <c r="L10" s="3">
        <f t="shared" si="3"/>
        <v>3.0735871604830205E-2</v>
      </c>
      <c r="M10" s="3">
        <f t="shared" si="4"/>
        <v>0.1162512102031589</v>
      </c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</row>
    <row r="11" spans="1:63" ht="14" customHeight="1">
      <c r="B11" s="9" t="str">
        <f>'01_Portfolio_Input'!B11</f>
        <v>CIB006</v>
      </c>
      <c r="C11" s="9" t="str">
        <f>'01_Portfolio_Input'!C11</f>
        <v>BlueHarbor Shipping</v>
      </c>
      <c r="D11" s="9" t="str">
        <f>'01_Portfolio_Input'!D11</f>
        <v>Shipping</v>
      </c>
      <c r="E11" s="10">
        <f>'01_Portfolio_Input'!J11</f>
        <v>5297.62</v>
      </c>
      <c r="F11" s="10">
        <f>'01_Portfolio_Input'!T11</f>
        <v>6234523.4699999997</v>
      </c>
      <c r="G11" s="10">
        <f>'01_Portfolio_Input'!U11</f>
        <v>227225.26</v>
      </c>
      <c r="H11" s="10">
        <f>'01_Portfolio_Input'!V11</f>
        <v>954917.93</v>
      </c>
      <c r="I11" s="2">
        <f t="shared" si="0"/>
        <v>7416666.6599999992</v>
      </c>
      <c r="J11" s="130">
        <f t="shared" si="1"/>
        <v>1399.999747056225</v>
      </c>
      <c r="K11" s="3">
        <f t="shared" si="2"/>
        <v>0.84060990682302017</v>
      </c>
      <c r="L11" s="3">
        <f t="shared" si="3"/>
        <v>3.0637113735404151E-2</v>
      </c>
      <c r="M11" s="3">
        <f t="shared" si="4"/>
        <v>0.12875297944157574</v>
      </c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</row>
    <row r="12" spans="1:63" ht="14" customHeight="1">
      <c r="B12" s="9" t="str">
        <f>'01_Portfolio_Input'!B12</f>
        <v>CIB007</v>
      </c>
      <c r="C12" s="9" t="str">
        <f>'01_Portfolio_Input'!C12</f>
        <v>Caldera Petrochem Industries</v>
      </c>
      <c r="D12" s="9" t="str">
        <f>'01_Portfolio_Input'!D12</f>
        <v>Chemicals</v>
      </c>
      <c r="E12" s="10">
        <f>'01_Portfolio_Input'!J12</f>
        <v>7870.37</v>
      </c>
      <c r="F12" s="10">
        <f>'01_Portfolio_Input'!T12</f>
        <v>3403940.58</v>
      </c>
      <c r="G12" s="10">
        <f>'01_Portfolio_Input'!U12</f>
        <v>856611.76</v>
      </c>
      <c r="H12" s="10">
        <f>'01_Portfolio_Input'!V12</f>
        <v>5183892.1100000003</v>
      </c>
      <c r="I12" s="2">
        <f t="shared" si="0"/>
        <v>9444444.4499999993</v>
      </c>
      <c r="J12" s="130">
        <f t="shared" si="1"/>
        <v>1200.0000571764731</v>
      </c>
      <c r="K12" s="3">
        <f t="shared" si="2"/>
        <v>0.36041723767034284</v>
      </c>
      <c r="L12" s="3">
        <f t="shared" si="3"/>
        <v>9.0700068652529386E-2</v>
      </c>
      <c r="M12" s="3">
        <f t="shared" si="4"/>
        <v>0.54888269367712794</v>
      </c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</row>
    <row r="13" spans="1:63" ht="14" customHeight="1">
      <c r="B13" s="9" t="str">
        <f>'01_Portfolio_Input'!B13</f>
        <v>CIB008</v>
      </c>
      <c r="C13" s="9" t="str">
        <f>'01_Portfolio_Input'!C13</f>
        <v>TerraFood Ingredients</v>
      </c>
      <c r="D13" s="9" t="str">
        <f>'01_Portfolio_Input'!D13</f>
        <v>Agriculture &amp; Food</v>
      </c>
      <c r="E13" s="10">
        <f>'01_Portfolio_Input'!J13</f>
        <v>8666.67</v>
      </c>
      <c r="F13" s="10">
        <f>'01_Portfolio_Input'!T13</f>
        <v>1245751.44</v>
      </c>
      <c r="G13" s="10">
        <f>'01_Portfolio_Input'!U13</f>
        <v>329171.90000000002</v>
      </c>
      <c r="H13" s="10">
        <f>'01_Portfolio_Input'!V13</f>
        <v>6225076.6500000004</v>
      </c>
      <c r="I13" s="2">
        <f t="shared" si="0"/>
        <v>7799999.9900000002</v>
      </c>
      <c r="J13" s="130">
        <f t="shared" si="1"/>
        <v>899.99965269244126</v>
      </c>
      <c r="K13" s="3">
        <f t="shared" si="2"/>
        <v>0.15971172328168168</v>
      </c>
      <c r="L13" s="3">
        <f t="shared" si="3"/>
        <v>4.2201525695130165E-2</v>
      </c>
      <c r="M13" s="3">
        <f t="shared" si="4"/>
        <v>0.79808675102318816</v>
      </c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</row>
    <row r="14" spans="1:63" ht="14" customHeight="1">
      <c r="B14" s="9" t="str">
        <f>'01_Portfolio_Input'!B14</f>
        <v>CIB009</v>
      </c>
      <c r="C14" s="9" t="str">
        <f>'01_Portfolio_Input'!C14</f>
        <v>VoltEdge Power Assets</v>
      </c>
      <c r="D14" s="9" t="str">
        <f>'01_Portfolio_Input'!D14</f>
        <v>Power &amp; Utilities</v>
      </c>
      <c r="E14" s="10">
        <f>'01_Portfolio_Input'!J14</f>
        <v>6015.62</v>
      </c>
      <c r="F14" s="10">
        <f>'01_Portfolio_Input'!T14</f>
        <v>6861903.29</v>
      </c>
      <c r="G14" s="10">
        <f>'01_Portfolio_Input'!U14</f>
        <v>477147.17</v>
      </c>
      <c r="H14" s="10">
        <f>'01_Portfolio_Input'!V14</f>
        <v>2285949.54</v>
      </c>
      <c r="I14" s="2">
        <f t="shared" si="0"/>
        <v>9625000</v>
      </c>
      <c r="J14" s="130">
        <f t="shared" si="1"/>
        <v>1600.0013298712352</v>
      </c>
      <c r="K14" s="3">
        <f t="shared" si="2"/>
        <v>0.71292501714285716</v>
      </c>
      <c r="L14" s="3">
        <f t="shared" si="3"/>
        <v>4.9573731948051945E-2</v>
      </c>
      <c r="M14" s="3">
        <f t="shared" si="4"/>
        <v>0.23750125090909091</v>
      </c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</row>
    <row r="15" spans="1:63" ht="14" customHeight="1">
      <c r="B15" s="9" t="str">
        <f>'01_Portfolio_Input'!B15</f>
        <v>CIB010</v>
      </c>
      <c r="C15" s="9" t="str">
        <f>'01_Portfolio_Input'!C15</f>
        <v>UrbanCore Properties</v>
      </c>
      <c r="D15" s="9" t="str">
        <f>'01_Portfolio_Input'!D15</f>
        <v>Real Estate</v>
      </c>
      <c r="E15" s="10">
        <f>'01_Portfolio_Input'!J15</f>
        <v>46031.75</v>
      </c>
      <c r="F15" s="10">
        <f>'01_Portfolio_Input'!T15</f>
        <v>2830244.82</v>
      </c>
      <c r="G15" s="10">
        <f>'01_Portfolio_Input'!U15</f>
        <v>2676521.12</v>
      </c>
      <c r="H15" s="10">
        <f>'01_Portfolio_Input'!V15</f>
        <v>2778948.35</v>
      </c>
      <c r="I15" s="2">
        <f t="shared" si="0"/>
        <v>8285714.2899999991</v>
      </c>
      <c r="J15" s="130">
        <f t="shared" si="1"/>
        <v>179.99998457586338</v>
      </c>
      <c r="K15" s="3">
        <f t="shared" si="2"/>
        <v>0.34158127120263038</v>
      </c>
      <c r="L15" s="3">
        <f t="shared" si="3"/>
        <v>0.32302841086739914</v>
      </c>
      <c r="M15" s="3">
        <f t="shared" si="4"/>
        <v>0.33539031792997059</v>
      </c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</row>
    <row r="16" spans="1:63" ht="14" customHeight="1">
      <c r="B16" s="9" t="str">
        <f>'01_Portfolio_Input'!B16</f>
        <v>CIB011</v>
      </c>
      <c r="C16" s="9" t="str">
        <f>'01_Portfolio_Input'!C16</f>
        <v>Borealis Energy Finance</v>
      </c>
      <c r="D16" s="9" t="str">
        <f>'01_Portfolio_Input'!D16</f>
        <v>Oil &amp; Gas</v>
      </c>
      <c r="E16" s="10">
        <f>'01_Portfolio_Input'!J16</f>
        <v>2222.2199999999998</v>
      </c>
      <c r="F16" s="10">
        <f>'01_Portfolio_Input'!T16</f>
        <v>474576.65</v>
      </c>
      <c r="G16" s="10">
        <f>'01_Portfolio_Input'!U16</f>
        <v>136800.06</v>
      </c>
      <c r="H16" s="10">
        <f>'01_Portfolio_Input'!V16</f>
        <v>4944178.84</v>
      </c>
      <c r="I16" s="2">
        <f t="shared" si="0"/>
        <v>5555555.5499999998</v>
      </c>
      <c r="J16" s="130">
        <f t="shared" si="1"/>
        <v>2500.0024975024976</v>
      </c>
      <c r="K16" s="3">
        <f t="shared" si="2"/>
        <v>8.5423797085423803E-2</v>
      </c>
      <c r="L16" s="3">
        <f t="shared" si="3"/>
        <v>2.462401082462401E-2</v>
      </c>
      <c r="M16" s="3">
        <f t="shared" si="4"/>
        <v>0.88995219208995224</v>
      </c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</row>
    <row r="17" spans="2:27" ht="14" customHeight="1">
      <c r="B17" s="9" t="str">
        <f>'01_Portfolio_Input'!B17</f>
        <v>CIB012</v>
      </c>
      <c r="C17" s="9" t="str">
        <f>'01_Portfolio_Input'!C17</f>
        <v>Aquila Midstream Ventures</v>
      </c>
      <c r="D17" s="9" t="str">
        <f>'01_Portfolio_Input'!D17</f>
        <v>Oil &amp; Gas</v>
      </c>
      <c r="E17" s="10">
        <f>'01_Portfolio_Input'!J17</f>
        <v>1955.56</v>
      </c>
      <c r="F17" s="10">
        <f>'01_Portfolio_Input'!T17</f>
        <v>417627.45</v>
      </c>
      <c r="G17" s="10">
        <f>'01_Portfolio_Input'!U17</f>
        <v>120384.05</v>
      </c>
      <c r="H17" s="10">
        <f>'01_Portfolio_Input'!V17</f>
        <v>4350877.38</v>
      </c>
      <c r="I17" s="2">
        <f t="shared" si="0"/>
        <v>4888888.88</v>
      </c>
      <c r="J17" s="130">
        <f t="shared" si="1"/>
        <v>2499.9943136492871</v>
      </c>
      <c r="K17" s="3">
        <f t="shared" si="2"/>
        <v>8.5423796746225092E-2</v>
      </c>
      <c r="L17" s="3">
        <f t="shared" si="3"/>
        <v>2.4624010272043657E-2</v>
      </c>
      <c r="M17" s="3">
        <f t="shared" si="4"/>
        <v>0.88995219298173123</v>
      </c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</row>
    <row r="18" spans="2:27" ht="14" customHeight="1">
      <c r="B18" s="9" t="str">
        <f>'01_Portfolio_Input'!B18</f>
        <v>CIB013</v>
      </c>
      <c r="C18" s="9" t="str">
        <f>'01_Portfolio_Input'!C18</f>
        <v>NorthSea Energy Services</v>
      </c>
      <c r="D18" s="9" t="str">
        <f>'01_Portfolio_Input'!D18</f>
        <v>Oil &amp; Gas</v>
      </c>
      <c r="E18" s="10">
        <f>'01_Portfolio_Input'!J18</f>
        <v>1866.67</v>
      </c>
      <c r="F18" s="10">
        <f>'01_Portfolio_Input'!T18</f>
        <v>398644.39</v>
      </c>
      <c r="G18" s="10">
        <f>'01_Portfolio_Input'!U18</f>
        <v>114912.05</v>
      </c>
      <c r="H18" s="10">
        <f>'01_Portfolio_Input'!V18</f>
        <v>4153110.23</v>
      </c>
      <c r="I18" s="2">
        <f t="shared" si="0"/>
        <v>4666666.67</v>
      </c>
      <c r="J18" s="130">
        <f t="shared" si="1"/>
        <v>2499.9955375079685</v>
      </c>
      <c r="K18" s="3">
        <f t="shared" si="2"/>
        <v>8.5423797796125869E-2</v>
      </c>
      <c r="L18" s="3">
        <f t="shared" si="3"/>
        <v>2.4624010696697136E-2</v>
      </c>
      <c r="M18" s="3">
        <f t="shared" si="4"/>
        <v>0.88995219150717697</v>
      </c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</row>
    <row r="19" spans="2:27" ht="14" customHeight="1">
      <c r="B19" s="9" t="str">
        <f>'01_Portfolio_Input'!B19</f>
        <v>CIB014</v>
      </c>
      <c r="C19" s="9" t="str">
        <f>'01_Portfolio_Input'!C19</f>
        <v>Sable Hydrocarbon Logistics</v>
      </c>
      <c r="D19" s="9" t="str">
        <f>'01_Portfolio_Input'!D19</f>
        <v>Oil &amp; Gas</v>
      </c>
      <c r="E19" s="10">
        <f>'01_Portfolio_Input'!J19</f>
        <v>1600</v>
      </c>
      <c r="F19" s="10">
        <f>'01_Portfolio_Input'!T19</f>
        <v>341695.19</v>
      </c>
      <c r="G19" s="10">
        <f>'01_Portfolio_Input'!U19</f>
        <v>98496.04</v>
      </c>
      <c r="H19" s="10">
        <f>'01_Portfolio_Input'!V19</f>
        <v>3559808.77</v>
      </c>
      <c r="I19" s="2">
        <f t="shared" si="0"/>
        <v>4000000</v>
      </c>
      <c r="J19" s="130">
        <f t="shared" si="1"/>
        <v>2500</v>
      </c>
      <c r="K19" s="3">
        <f t="shared" si="2"/>
        <v>8.5423797499999995E-2</v>
      </c>
      <c r="L19" s="3">
        <f t="shared" si="3"/>
        <v>2.4624009999999998E-2</v>
      </c>
      <c r="M19" s="3">
        <f t="shared" si="4"/>
        <v>0.88995219250000002</v>
      </c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</row>
    <row r="20" spans="2:27" ht="14" customHeight="1">
      <c r="B20" s="9" t="str">
        <f>'01_Portfolio_Input'!B20</f>
        <v>CIB015</v>
      </c>
      <c r="C20" s="9" t="str">
        <f>'01_Portfolio_Input'!C20</f>
        <v>Eclipse Energy Partners</v>
      </c>
      <c r="D20" s="9" t="str">
        <f>'01_Portfolio_Input'!D20</f>
        <v>Oil &amp; Gas</v>
      </c>
      <c r="E20" s="10">
        <f>'01_Portfolio_Input'!J20</f>
        <v>1600</v>
      </c>
      <c r="F20" s="10">
        <f>'01_Portfolio_Input'!T20</f>
        <v>341695.19</v>
      </c>
      <c r="G20" s="10">
        <f>'01_Portfolio_Input'!U20</f>
        <v>98496.04</v>
      </c>
      <c r="H20" s="10">
        <f>'01_Portfolio_Input'!V20</f>
        <v>3559808.77</v>
      </c>
      <c r="I20" s="2">
        <f t="shared" si="0"/>
        <v>4000000</v>
      </c>
      <c r="J20" s="130">
        <f t="shared" si="1"/>
        <v>2500</v>
      </c>
      <c r="K20" s="3">
        <f t="shared" si="2"/>
        <v>8.5423797499999995E-2</v>
      </c>
      <c r="L20" s="3">
        <f t="shared" si="3"/>
        <v>2.4624009999999998E-2</v>
      </c>
      <c r="M20" s="3">
        <f t="shared" si="4"/>
        <v>0.88995219250000002</v>
      </c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</row>
    <row r="21" spans="2:27" ht="14" customHeight="1">
      <c r="B21" s="9" t="str">
        <f>'01_Portfolio_Input'!B21</f>
        <v>CIB016</v>
      </c>
      <c r="C21" s="9" t="str">
        <f>'01_Portfolio_Input'!C21</f>
        <v>Aurora Renewables Platform</v>
      </c>
      <c r="D21" s="9" t="str">
        <f>'01_Portfolio_Input'!D21</f>
        <v>Power &amp; Utilities</v>
      </c>
      <c r="E21" s="10">
        <f>'01_Portfolio_Input'!J21</f>
        <v>3906.25</v>
      </c>
      <c r="F21" s="10">
        <f>'01_Portfolio_Input'!T21</f>
        <v>4455781.3600000003</v>
      </c>
      <c r="G21" s="10">
        <f>'01_Portfolio_Input'!U21</f>
        <v>309835.83</v>
      </c>
      <c r="H21" s="10">
        <f>'01_Portfolio_Input'!V21</f>
        <v>1484382.82</v>
      </c>
      <c r="I21" s="2">
        <f t="shared" si="0"/>
        <v>6250000.0100000007</v>
      </c>
      <c r="J21" s="130">
        <f t="shared" si="1"/>
        <v>1600.0000025600002</v>
      </c>
      <c r="K21" s="3">
        <f t="shared" si="2"/>
        <v>0.71292501645931994</v>
      </c>
      <c r="L21" s="3">
        <f t="shared" si="3"/>
        <v>4.9573732720682023E-2</v>
      </c>
      <c r="M21" s="3">
        <f t="shared" si="4"/>
        <v>0.23750125081999798</v>
      </c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</row>
    <row r="22" spans="2:27" ht="14" customHeight="1">
      <c r="B22" s="9" t="str">
        <f>'01_Portfolio_Input'!B22</f>
        <v>CIB017</v>
      </c>
      <c r="C22" s="9" t="str">
        <f>'01_Portfolio_Input'!C22</f>
        <v>Riverton Grid Networks</v>
      </c>
      <c r="D22" s="9" t="str">
        <f>'01_Portfolio_Input'!D22</f>
        <v>Power &amp; Utilities</v>
      </c>
      <c r="E22" s="10">
        <f>'01_Portfolio_Input'!J22</f>
        <v>781.25</v>
      </c>
      <c r="F22" s="10">
        <f>'01_Portfolio_Input'!T22</f>
        <v>891156.27</v>
      </c>
      <c r="G22" s="10">
        <f>'01_Portfolio_Input'!U22</f>
        <v>61967.17</v>
      </c>
      <c r="H22" s="10">
        <f>'01_Portfolio_Input'!V22</f>
        <v>296876.56</v>
      </c>
      <c r="I22" s="2">
        <f t="shared" si="0"/>
        <v>1250000</v>
      </c>
      <c r="J22" s="130">
        <f t="shared" si="1"/>
        <v>1600</v>
      </c>
      <c r="K22" s="3">
        <f t="shared" si="2"/>
        <v>0.71292501600000002</v>
      </c>
      <c r="L22" s="3">
        <f t="shared" si="3"/>
        <v>4.9573736E-2</v>
      </c>
      <c r="M22" s="3">
        <f t="shared" si="4"/>
        <v>0.237501248</v>
      </c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</row>
    <row r="23" spans="2:27" ht="14" customHeight="1">
      <c r="B23" s="9" t="str">
        <f>'01_Portfolio_Input'!B23</f>
        <v>CIB018</v>
      </c>
      <c r="C23" s="9" t="str">
        <f>'01_Portfolio_Input'!C23</f>
        <v>Solstice Thermal Assets</v>
      </c>
      <c r="D23" s="9" t="str">
        <f>'01_Portfolio_Input'!D23</f>
        <v>Power &amp; Utilities</v>
      </c>
      <c r="E23" s="10">
        <f>'01_Portfolio_Input'!J23</f>
        <v>781.25</v>
      </c>
      <c r="F23" s="10">
        <f>'01_Portfolio_Input'!T23</f>
        <v>891156.27</v>
      </c>
      <c r="G23" s="10">
        <f>'01_Portfolio_Input'!U23</f>
        <v>61967.17</v>
      </c>
      <c r="H23" s="10">
        <f>'01_Portfolio_Input'!V23</f>
        <v>296876.56</v>
      </c>
      <c r="I23" s="2">
        <f t="shared" si="0"/>
        <v>1250000</v>
      </c>
      <c r="J23" s="130">
        <f t="shared" si="1"/>
        <v>1600</v>
      </c>
      <c r="K23" s="3">
        <f t="shared" si="2"/>
        <v>0.71292501600000002</v>
      </c>
      <c r="L23" s="3">
        <f t="shared" si="3"/>
        <v>4.9573736E-2</v>
      </c>
      <c r="M23" s="3">
        <f t="shared" si="4"/>
        <v>0.237501248</v>
      </c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</row>
    <row r="24" spans="2:27" ht="14" customHeight="1">
      <c r="B24" s="9" t="str">
        <f>'01_Portfolio_Input'!B24</f>
        <v>CIB019</v>
      </c>
      <c r="C24" s="9" t="str">
        <f>'01_Portfolio_Input'!C24</f>
        <v>Vector Utility Services</v>
      </c>
      <c r="D24" s="9" t="str">
        <f>'01_Portfolio_Input'!D24</f>
        <v>Power &amp; Utilities</v>
      </c>
      <c r="E24" s="10">
        <f>'01_Portfolio_Input'!J24</f>
        <v>781.25</v>
      </c>
      <c r="F24" s="10">
        <f>'01_Portfolio_Input'!T24</f>
        <v>891156.27</v>
      </c>
      <c r="G24" s="10">
        <f>'01_Portfolio_Input'!U24</f>
        <v>61967.17</v>
      </c>
      <c r="H24" s="10">
        <f>'01_Portfolio_Input'!V24</f>
        <v>296876.56</v>
      </c>
      <c r="I24" s="2">
        <f t="shared" si="0"/>
        <v>1250000</v>
      </c>
      <c r="J24" s="130">
        <f t="shared" si="1"/>
        <v>1600</v>
      </c>
      <c r="K24" s="3">
        <f t="shared" si="2"/>
        <v>0.71292501600000002</v>
      </c>
      <c r="L24" s="3">
        <f t="shared" si="3"/>
        <v>4.9573736E-2</v>
      </c>
      <c r="M24" s="3">
        <f t="shared" si="4"/>
        <v>0.237501248</v>
      </c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</row>
    <row r="25" spans="2:27" ht="14" customHeight="1">
      <c r="B25" s="9" t="str">
        <f>'01_Portfolio_Input'!B25</f>
        <v>CIB020</v>
      </c>
      <c r="C25" s="9" t="str">
        <f>'01_Portfolio_Input'!C25</f>
        <v>Canopy Power Distribution</v>
      </c>
      <c r="D25" s="9" t="str">
        <f>'01_Portfolio_Input'!D25</f>
        <v>Power &amp; Utilities</v>
      </c>
      <c r="E25" s="10">
        <f>'01_Portfolio_Input'!J25</f>
        <v>781.25</v>
      </c>
      <c r="F25" s="10">
        <f>'01_Portfolio_Input'!T25</f>
        <v>891156.27</v>
      </c>
      <c r="G25" s="10">
        <f>'01_Portfolio_Input'!U25</f>
        <v>61967.17</v>
      </c>
      <c r="H25" s="10">
        <f>'01_Portfolio_Input'!V25</f>
        <v>296876.56</v>
      </c>
      <c r="I25" s="2">
        <f t="shared" si="0"/>
        <v>1250000</v>
      </c>
      <c r="J25" s="130">
        <f t="shared" si="1"/>
        <v>1600</v>
      </c>
      <c r="K25" s="3">
        <f t="shared" si="2"/>
        <v>0.71292501600000002</v>
      </c>
      <c r="L25" s="3">
        <f t="shared" si="3"/>
        <v>4.9573736E-2</v>
      </c>
      <c r="M25" s="3">
        <f t="shared" si="4"/>
        <v>0.237501248</v>
      </c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</row>
    <row r="26" spans="2:27" ht="14" customHeight="1">
      <c r="B26" s="9" t="str">
        <f>'01_Portfolio_Input'!B26</f>
        <v>CIB021</v>
      </c>
      <c r="C26" s="9" t="str">
        <f>'01_Portfolio_Input'!C26</f>
        <v>HarborLight Energy Systems</v>
      </c>
      <c r="D26" s="9" t="str">
        <f>'01_Portfolio_Input'!D26</f>
        <v>Power &amp; Utilities</v>
      </c>
      <c r="E26" s="10">
        <f>'01_Portfolio_Input'!J26</f>
        <v>250</v>
      </c>
      <c r="F26" s="10">
        <f>'01_Portfolio_Input'!T26</f>
        <v>89115.63</v>
      </c>
      <c r="G26" s="10">
        <f>'01_Portfolio_Input'!U26</f>
        <v>6196.72</v>
      </c>
      <c r="H26" s="10">
        <f>'01_Portfolio_Input'!V26</f>
        <v>29687.66</v>
      </c>
      <c r="I26" s="2">
        <f t="shared" si="0"/>
        <v>125000.01000000001</v>
      </c>
      <c r="J26" s="130">
        <f t="shared" si="1"/>
        <v>500.00004000000001</v>
      </c>
      <c r="K26" s="3">
        <f t="shared" si="2"/>
        <v>0.71292498296600137</v>
      </c>
      <c r="L26" s="3">
        <f t="shared" si="3"/>
        <v>4.9573756034099518E-2</v>
      </c>
      <c r="M26" s="3">
        <f t="shared" si="4"/>
        <v>0.2375012609998991</v>
      </c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</row>
    <row r="27" spans="2:27" ht="14" customHeight="1">
      <c r="B27" s="9" t="str">
        <f>'01_Portfolio_Input'!B27</f>
        <v>CIB022</v>
      </c>
      <c r="C27" s="9" t="str">
        <f>'01_Portfolio_Input'!C27</f>
        <v>ForgeLine Steelworks</v>
      </c>
      <c r="D27" s="9" t="str">
        <f>'01_Portfolio_Input'!D27</f>
        <v>Steel</v>
      </c>
      <c r="E27" s="10">
        <f>'01_Portfolio_Input'!J27</f>
        <v>765.55</v>
      </c>
      <c r="F27" s="10">
        <f>'01_Portfolio_Input'!T27</f>
        <v>900382.99</v>
      </c>
      <c r="G27" s="10">
        <f>'01_Portfolio_Input'!U27</f>
        <v>245122.75</v>
      </c>
      <c r="H27" s="10">
        <f>'01_Portfolio_Input'!V27</f>
        <v>309039.71999999997</v>
      </c>
      <c r="I27" s="2">
        <f t="shared" si="0"/>
        <v>1454545.46</v>
      </c>
      <c r="J27" s="130">
        <f t="shared" si="1"/>
        <v>1900.0006008751877</v>
      </c>
      <c r="K27" s="3">
        <f t="shared" si="2"/>
        <v>0.61901330330370008</v>
      </c>
      <c r="L27" s="3">
        <f t="shared" si="3"/>
        <v>0.16852188999304291</v>
      </c>
      <c r="M27" s="3">
        <f t="shared" si="4"/>
        <v>0.21246480670325696</v>
      </c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</row>
    <row r="28" spans="2:27" ht="14" customHeight="1">
      <c r="B28" s="9" t="str">
        <f>'01_Portfolio_Input'!B28</f>
        <v>CIB023</v>
      </c>
      <c r="C28" s="9" t="str">
        <f>'01_Portfolio_Input'!C28</f>
        <v>Atlas Coil Manufacturing</v>
      </c>
      <c r="D28" s="9" t="str">
        <f>'01_Portfolio_Input'!D28</f>
        <v>Steel</v>
      </c>
      <c r="E28" s="10">
        <f>'01_Portfolio_Input'!J28</f>
        <v>717.7</v>
      </c>
      <c r="F28" s="10">
        <f>'01_Portfolio_Input'!T28</f>
        <v>844109.05</v>
      </c>
      <c r="G28" s="10">
        <f>'01_Portfolio_Input'!U28</f>
        <v>229802.58</v>
      </c>
      <c r="H28" s="10">
        <f>'01_Portfolio_Input'!V28</f>
        <v>289724.74</v>
      </c>
      <c r="I28" s="2">
        <f t="shared" si="0"/>
        <v>1363636.37</v>
      </c>
      <c r="J28" s="130">
        <f t="shared" si="1"/>
        <v>1900.0088755747527</v>
      </c>
      <c r="K28" s="3">
        <f t="shared" si="2"/>
        <v>0.61901330044460456</v>
      </c>
      <c r="L28" s="3">
        <f t="shared" si="3"/>
        <v>0.16852189121356448</v>
      </c>
      <c r="M28" s="3">
        <f t="shared" si="4"/>
        <v>0.21246480834183087</v>
      </c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</row>
    <row r="29" spans="2:27" ht="14" customHeight="1">
      <c r="B29" s="9" t="str">
        <f>'01_Portfolio_Input'!B29</f>
        <v>CIB024</v>
      </c>
      <c r="C29" s="9" t="str">
        <f>'01_Portfolio_Input'!C29</f>
        <v>Mercury Metals Processing</v>
      </c>
      <c r="D29" s="9" t="str">
        <f>'01_Portfolio_Input'!D29</f>
        <v>Steel</v>
      </c>
      <c r="E29" s="10">
        <f>'01_Portfolio_Input'!J29</f>
        <v>669.86</v>
      </c>
      <c r="F29" s="10">
        <f>'01_Portfolio_Input'!T29</f>
        <v>787835.11</v>
      </c>
      <c r="G29" s="10">
        <f>'01_Portfolio_Input'!U29</f>
        <v>214482.4</v>
      </c>
      <c r="H29" s="10">
        <f>'01_Portfolio_Input'!V29</f>
        <v>270409.76</v>
      </c>
      <c r="I29" s="2">
        <f t="shared" si="0"/>
        <v>1272727.27</v>
      </c>
      <c r="J29" s="130">
        <f t="shared" si="1"/>
        <v>1899.9899531245335</v>
      </c>
      <c r="K29" s="3">
        <f t="shared" si="2"/>
        <v>0.61901330204074279</v>
      </c>
      <c r="L29" s="3">
        <f t="shared" si="3"/>
        <v>0.16852188607540403</v>
      </c>
      <c r="M29" s="3">
        <f t="shared" si="4"/>
        <v>0.21246481188385316</v>
      </c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</row>
    <row r="30" spans="2:27" ht="14" customHeight="1">
      <c r="B30" s="9" t="str">
        <f>'01_Portfolio_Input'!B30</f>
        <v>CIB025</v>
      </c>
      <c r="C30" s="9" t="str">
        <f>'01_Portfolio_Input'!C30</f>
        <v>Granite Steel Components</v>
      </c>
      <c r="D30" s="9" t="str">
        <f>'01_Portfolio_Input'!D30</f>
        <v>Steel</v>
      </c>
      <c r="E30" s="10">
        <f>'01_Portfolio_Input'!J30</f>
        <v>717.7</v>
      </c>
      <c r="F30" s="10">
        <f>'01_Portfolio_Input'!T30</f>
        <v>844109.05</v>
      </c>
      <c r="G30" s="10">
        <f>'01_Portfolio_Input'!U30</f>
        <v>229802.58</v>
      </c>
      <c r="H30" s="10">
        <f>'01_Portfolio_Input'!V30</f>
        <v>289724.74</v>
      </c>
      <c r="I30" s="2">
        <f t="shared" si="0"/>
        <v>1363636.37</v>
      </c>
      <c r="J30" s="130">
        <f t="shared" si="1"/>
        <v>1900.0088755747527</v>
      </c>
      <c r="K30" s="3">
        <f t="shared" si="2"/>
        <v>0.61901330044460456</v>
      </c>
      <c r="L30" s="3">
        <f t="shared" si="3"/>
        <v>0.16852189121356448</v>
      </c>
      <c r="M30" s="3">
        <f t="shared" si="4"/>
        <v>0.21246480834183087</v>
      </c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</row>
    <row r="31" spans="2:27" ht="14" customHeight="1">
      <c r="B31" s="9" t="str">
        <f>'01_Portfolio_Input'!B31</f>
        <v>CIB026</v>
      </c>
      <c r="C31" s="9" t="str">
        <f>'01_Portfolio_Input'!C31</f>
        <v>Lumen Cement Solutions</v>
      </c>
      <c r="D31" s="9" t="str">
        <f>'01_Portfolio_Input'!D31</f>
        <v>Cement</v>
      </c>
      <c r="E31" s="10">
        <f>'01_Portfolio_Input'!J31</f>
        <v>250</v>
      </c>
      <c r="F31" s="10">
        <f>'01_Portfolio_Input'!T31</f>
        <v>110617.56</v>
      </c>
      <c r="G31" s="10">
        <f>'01_Portfolio_Input'!U31</f>
        <v>11406.48</v>
      </c>
      <c r="H31" s="10">
        <f>'01_Portfolio_Input'!V31</f>
        <v>17975.97</v>
      </c>
      <c r="I31" s="2">
        <f t="shared" si="0"/>
        <v>140000.01</v>
      </c>
      <c r="J31" s="130">
        <f t="shared" si="1"/>
        <v>560.00004000000001</v>
      </c>
      <c r="K31" s="3">
        <f t="shared" si="2"/>
        <v>0.79012537213390188</v>
      </c>
      <c r="L31" s="3">
        <f t="shared" si="3"/>
        <v>8.1474851323224892E-2</v>
      </c>
      <c r="M31" s="3">
        <f t="shared" si="4"/>
        <v>0.1283997765428731</v>
      </c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</row>
    <row r="32" spans="2:27" ht="14" customHeight="1">
      <c r="B32" s="9" t="str">
        <f>'01_Portfolio_Input'!B32</f>
        <v>CIB027</v>
      </c>
      <c r="C32" s="9" t="str">
        <f>'01_Portfolio_Input'!C32</f>
        <v>Crestline Building Materials</v>
      </c>
      <c r="D32" s="9" t="str">
        <f>'01_Portfolio_Input'!D32</f>
        <v>Cement</v>
      </c>
      <c r="E32" s="10">
        <f>'01_Portfolio_Input'!J32</f>
        <v>250</v>
      </c>
      <c r="F32" s="10">
        <f>'01_Portfolio_Input'!T32</f>
        <v>205432.6</v>
      </c>
      <c r="G32" s="10">
        <f>'01_Portfolio_Input'!U32</f>
        <v>21183.46</v>
      </c>
      <c r="H32" s="10">
        <f>'01_Portfolio_Input'!V32</f>
        <v>33383.94</v>
      </c>
      <c r="I32" s="2">
        <f t="shared" si="0"/>
        <v>260000</v>
      </c>
      <c r="J32" s="130">
        <f t="shared" si="1"/>
        <v>1040</v>
      </c>
      <c r="K32" s="3">
        <f t="shared" si="2"/>
        <v>0.79012538461538462</v>
      </c>
      <c r="L32" s="3">
        <f t="shared" si="3"/>
        <v>8.1474846153846148E-2</v>
      </c>
      <c r="M32" s="3">
        <f t="shared" si="4"/>
        <v>0.12839976923076923</v>
      </c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</row>
    <row r="33" spans="2:27" ht="14" customHeight="1">
      <c r="B33" s="9" t="str">
        <f>'01_Portfolio_Input'!B33</f>
        <v>CIB028</v>
      </c>
      <c r="C33" s="9" t="str">
        <f>'01_Portfolio_Input'!C33</f>
        <v>Pinnacle Clinker Group</v>
      </c>
      <c r="D33" s="9" t="str">
        <f>'01_Portfolio_Input'!D33</f>
        <v>Cement</v>
      </c>
      <c r="E33" s="10">
        <f>'01_Portfolio_Input'!J33</f>
        <v>2000</v>
      </c>
      <c r="F33" s="10">
        <f>'01_Portfolio_Input'!T33</f>
        <v>3476551.77</v>
      </c>
      <c r="G33" s="10">
        <f>'01_Portfolio_Input'!U33</f>
        <v>358489.29</v>
      </c>
      <c r="H33" s="10">
        <f>'01_Portfolio_Input'!V33</f>
        <v>564958.93999999994</v>
      </c>
      <c r="I33" s="2">
        <f t="shared" si="0"/>
        <v>4400000</v>
      </c>
      <c r="J33" s="130">
        <f t="shared" si="1"/>
        <v>2200</v>
      </c>
      <c r="K33" s="3">
        <f t="shared" si="2"/>
        <v>0.79012540227272732</v>
      </c>
      <c r="L33" s="3">
        <f t="shared" si="3"/>
        <v>8.1474838636363636E-2</v>
      </c>
      <c r="M33" s="3">
        <f t="shared" si="4"/>
        <v>0.12839975909090909</v>
      </c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</row>
    <row r="34" spans="2:27" ht="14" customHeight="1">
      <c r="B34" s="9" t="str">
        <f>'01_Portfolio_Input'!B34</f>
        <v>CIB029</v>
      </c>
      <c r="C34" s="9" t="str">
        <f>'01_Portfolio_Input'!C34</f>
        <v>VeraChem Specialties</v>
      </c>
      <c r="D34" s="9" t="str">
        <f>'01_Portfolio_Input'!D34</f>
        <v>Chemicals</v>
      </c>
      <c r="E34" s="10">
        <f>'01_Portfolio_Input'!J34</f>
        <v>1759.26</v>
      </c>
      <c r="F34" s="10">
        <f>'01_Portfolio_Input'!T34</f>
        <v>760880.84</v>
      </c>
      <c r="G34" s="10">
        <f>'01_Portfolio_Input'!U34</f>
        <v>191477.92</v>
      </c>
      <c r="H34" s="10">
        <f>'01_Portfolio_Input'!V34</f>
        <v>1158752.3500000001</v>
      </c>
      <c r="I34" s="2">
        <f t="shared" si="0"/>
        <v>2111111.1100000003</v>
      </c>
      <c r="J34" s="130">
        <f t="shared" si="1"/>
        <v>1199.9994941054763</v>
      </c>
      <c r="K34" s="3">
        <f t="shared" si="2"/>
        <v>0.36041724018969323</v>
      </c>
      <c r="L34" s="3">
        <f t="shared" si="3"/>
        <v>9.0700067416157923E-2</v>
      </c>
      <c r="M34" s="3">
        <f t="shared" si="4"/>
        <v>0.54888269239414877</v>
      </c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</row>
    <row r="35" spans="2:27" ht="14" customHeight="1">
      <c r="B35" s="9" t="str">
        <f>'01_Portfolio_Input'!B35</f>
        <v>CIB030</v>
      </c>
      <c r="C35" s="9" t="str">
        <f>'01_Portfolio_Input'!C35</f>
        <v>Apex Polymer Materials</v>
      </c>
      <c r="D35" s="9" t="str">
        <f>'01_Portfolio_Input'!D35</f>
        <v>Chemicals</v>
      </c>
      <c r="E35" s="10">
        <f>'01_Portfolio_Input'!J35</f>
        <v>1666.67</v>
      </c>
      <c r="F35" s="10">
        <f>'01_Portfolio_Input'!T35</f>
        <v>720834.48</v>
      </c>
      <c r="G35" s="10">
        <f>'01_Portfolio_Input'!U35</f>
        <v>181400.14</v>
      </c>
      <c r="H35" s="10">
        <f>'01_Portfolio_Input'!V35</f>
        <v>1097765.3899999999</v>
      </c>
      <c r="I35" s="2">
        <f t="shared" si="0"/>
        <v>2000000.0099999998</v>
      </c>
      <c r="J35" s="130">
        <f t="shared" si="1"/>
        <v>1199.9976060047877</v>
      </c>
      <c r="K35" s="3">
        <f t="shared" si="2"/>
        <v>0.36041723819791383</v>
      </c>
      <c r="L35" s="3">
        <f t="shared" si="3"/>
        <v>9.0700069546499673E-2</v>
      </c>
      <c r="M35" s="3">
        <f t="shared" si="4"/>
        <v>0.5488826922555865</v>
      </c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</row>
    <row r="36" spans="2:27" ht="14" customHeight="1">
      <c r="B36" s="9" t="str">
        <f>'01_Portfolio_Input'!B36</f>
        <v>CIB031</v>
      </c>
      <c r="C36" s="9" t="str">
        <f>'01_Portfolio_Input'!C36</f>
        <v>NaturaSolv Industrial Chemicals</v>
      </c>
      <c r="D36" s="9" t="str">
        <f>'01_Portfolio_Input'!D36</f>
        <v>Chemicals</v>
      </c>
      <c r="E36" s="10">
        <f>'01_Portfolio_Input'!J36</f>
        <v>1481.48</v>
      </c>
      <c r="F36" s="10">
        <f>'01_Portfolio_Input'!T36</f>
        <v>640741.76</v>
      </c>
      <c r="G36" s="10">
        <f>'01_Portfolio_Input'!U36</f>
        <v>161244.57</v>
      </c>
      <c r="H36" s="10">
        <f>'01_Portfolio_Input'!V36</f>
        <v>975791.46</v>
      </c>
      <c r="I36" s="2">
        <f t="shared" si="0"/>
        <v>1777777.79</v>
      </c>
      <c r="J36" s="130">
        <f t="shared" si="1"/>
        <v>1200.0012082512083</v>
      </c>
      <c r="K36" s="3">
        <f t="shared" si="2"/>
        <v>0.36041723752213151</v>
      </c>
      <c r="L36" s="3">
        <f t="shared" si="3"/>
        <v>9.0700070001437025E-2</v>
      </c>
      <c r="M36" s="3">
        <f t="shared" si="4"/>
        <v>0.54888269247643151</v>
      </c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</row>
    <row r="37" spans="2:27" ht="14" customHeight="1">
      <c r="B37" s="9" t="str">
        <f>'01_Portfolio_Input'!B37</f>
        <v>CIB032</v>
      </c>
      <c r="C37" s="9" t="str">
        <f>'01_Portfolio_Input'!C37</f>
        <v>Zenith Coatings Group</v>
      </c>
      <c r="D37" s="9" t="str">
        <f>'01_Portfolio_Input'!D37</f>
        <v>Chemicals</v>
      </c>
      <c r="E37" s="10">
        <f>'01_Portfolio_Input'!J37</f>
        <v>1666.67</v>
      </c>
      <c r="F37" s="10">
        <f>'01_Portfolio_Input'!T37</f>
        <v>720834.48</v>
      </c>
      <c r="G37" s="10">
        <f>'01_Portfolio_Input'!U37</f>
        <v>181400.14</v>
      </c>
      <c r="H37" s="10">
        <f>'01_Portfolio_Input'!V37</f>
        <v>1097765.3899999999</v>
      </c>
      <c r="I37" s="2">
        <f t="shared" si="0"/>
        <v>2000000.0099999998</v>
      </c>
      <c r="J37" s="130">
        <f t="shared" si="1"/>
        <v>1199.9976060047877</v>
      </c>
      <c r="K37" s="3">
        <f t="shared" si="2"/>
        <v>0.36041723819791383</v>
      </c>
      <c r="L37" s="3">
        <f t="shared" si="3"/>
        <v>9.0700069546499673E-2</v>
      </c>
      <c r="M37" s="3">
        <f t="shared" si="4"/>
        <v>0.5488826922555865</v>
      </c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</row>
    <row r="38" spans="2:27" ht="14" customHeight="1">
      <c r="B38" s="9" t="str">
        <f>'01_Portfolio_Input'!B38</f>
        <v>CIB033</v>
      </c>
      <c r="C38" s="9" t="str">
        <f>'01_Portfolio_Input'!C38</f>
        <v>SkyBridge Leasing Platform</v>
      </c>
      <c r="D38" s="9" t="str">
        <f>'01_Portfolio_Input'!D38</f>
        <v>Aviation</v>
      </c>
      <c r="E38" s="10">
        <f>'01_Portfolio_Input'!J38</f>
        <v>250</v>
      </c>
      <c r="F38" s="10">
        <f>'01_Portfolio_Input'!T38</f>
        <v>186241.15</v>
      </c>
      <c r="G38" s="10">
        <f>'01_Portfolio_Input'!U38</f>
        <v>6710.67</v>
      </c>
      <c r="H38" s="10">
        <f>'01_Portfolio_Input'!V38</f>
        <v>25381.51</v>
      </c>
      <c r="I38" s="2">
        <f t="shared" ref="I38:I65" si="5">SUM(F38:H38)</f>
        <v>218333.33000000002</v>
      </c>
      <c r="J38" s="130">
        <f t="shared" ref="J38:J65" si="6">IFERROR(I38/E38,0)</f>
        <v>873.33332000000007</v>
      </c>
      <c r="K38" s="3">
        <f t="shared" ref="K38:K65" si="7">IFERROR(F38/I38,0)</f>
        <v>0.85301291378645661</v>
      </c>
      <c r="L38" s="3">
        <f t="shared" ref="L38:L65" si="8">IFERROR(G38/I38,0)</f>
        <v>3.0735893599021274E-2</v>
      </c>
      <c r="M38" s="3">
        <f t="shared" ref="M38:M65" si="9">IFERROR(H38/I38,0)</f>
        <v>0.11625119261452201</v>
      </c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</row>
    <row r="39" spans="2:27" ht="14" customHeight="1">
      <c r="B39" s="9" t="str">
        <f>'01_Portfolio_Input'!B39</f>
        <v>CIB034</v>
      </c>
      <c r="C39" s="9" t="str">
        <f>'01_Portfolio_Input'!C39</f>
        <v>AeroNova Services</v>
      </c>
      <c r="D39" s="9" t="str">
        <f>'01_Portfolio_Input'!D39</f>
        <v>Aviation</v>
      </c>
      <c r="E39" s="10">
        <f>'01_Portfolio_Input'!J39</f>
        <v>1312.75</v>
      </c>
      <c r="F39" s="10">
        <f>'01_Portfolio_Input'!T39</f>
        <v>1903640.49</v>
      </c>
      <c r="G39" s="10">
        <f>'01_Portfolio_Input'!U39</f>
        <v>68592.22</v>
      </c>
      <c r="H39" s="10">
        <f>'01_Portfolio_Input'!V39</f>
        <v>259433.95</v>
      </c>
      <c r="I39" s="2">
        <f t="shared" si="5"/>
        <v>2231666.66</v>
      </c>
      <c r="J39" s="130">
        <f t="shared" si="6"/>
        <v>1699.9936469243955</v>
      </c>
      <c r="K39" s="3">
        <f t="shared" si="7"/>
        <v>0.85301291815687197</v>
      </c>
      <c r="L39" s="3">
        <f t="shared" si="8"/>
        <v>3.0735871637747186E-2</v>
      </c>
      <c r="M39" s="3">
        <f t="shared" si="9"/>
        <v>0.11625121020538076</v>
      </c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</row>
    <row r="40" spans="2:27" ht="14" customHeight="1">
      <c r="B40" s="9" t="str">
        <f>'01_Portfolio_Input'!B40</f>
        <v>CIB035</v>
      </c>
      <c r="C40" s="9" t="str">
        <f>'01_Portfolio_Input'!C40</f>
        <v>Nimbus Fleet Holdings</v>
      </c>
      <c r="D40" s="9" t="str">
        <f>'01_Portfolio_Input'!D40</f>
        <v>Aviation</v>
      </c>
      <c r="E40" s="10">
        <f>'01_Portfolio_Input'!J40</f>
        <v>250</v>
      </c>
      <c r="F40" s="10">
        <f>'01_Portfolio_Input'!T40</f>
        <v>113735.06</v>
      </c>
      <c r="G40" s="10">
        <f>'01_Portfolio_Input'!U40</f>
        <v>4098.12</v>
      </c>
      <c r="H40" s="10">
        <f>'01_Portfolio_Input'!V40</f>
        <v>15500.16</v>
      </c>
      <c r="I40" s="2">
        <f t="shared" si="5"/>
        <v>133333.34</v>
      </c>
      <c r="J40" s="130">
        <f t="shared" si="6"/>
        <v>533.33335999999997</v>
      </c>
      <c r="K40" s="3">
        <f t="shared" si="7"/>
        <v>0.85301290734935464</v>
      </c>
      <c r="L40" s="3">
        <f t="shared" si="8"/>
        <v>3.0735898463205076E-2</v>
      </c>
      <c r="M40" s="3">
        <f t="shared" si="9"/>
        <v>0.11625119418744029</v>
      </c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</row>
    <row r="41" spans="2:27" ht="14" customHeight="1">
      <c r="B41" s="9" t="str">
        <f>'01_Portfolio_Input'!B41</f>
        <v>CIB036</v>
      </c>
      <c r="C41" s="9" t="str">
        <f>'01_Portfolio_Input'!C41</f>
        <v>OceanGate Vessel Finance</v>
      </c>
      <c r="D41" s="9" t="str">
        <f>'01_Portfolio_Input'!D41</f>
        <v>Shipping</v>
      </c>
      <c r="E41" s="10">
        <f>'01_Portfolio_Input'!J41</f>
        <v>297.62</v>
      </c>
      <c r="F41" s="10">
        <f>'01_Portfolio_Input'!T41</f>
        <v>350254.13</v>
      </c>
      <c r="G41" s="10">
        <f>'01_Portfolio_Input'!U41</f>
        <v>12765.46</v>
      </c>
      <c r="H41" s="10">
        <f>'01_Portfolio_Input'!V41</f>
        <v>53647.07</v>
      </c>
      <c r="I41" s="2">
        <f t="shared" si="5"/>
        <v>416666.66000000003</v>
      </c>
      <c r="J41" s="130">
        <f t="shared" si="6"/>
        <v>1399.9954976144077</v>
      </c>
      <c r="K41" s="3">
        <f t="shared" si="7"/>
        <v>0.84060992544975877</v>
      </c>
      <c r="L41" s="3">
        <f t="shared" si="8"/>
        <v>3.0637104490193669E-2</v>
      </c>
      <c r="M41" s="3">
        <f t="shared" si="9"/>
        <v>0.12875297006004752</v>
      </c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</row>
    <row r="42" spans="2:27" ht="14" customHeight="1">
      <c r="B42" s="9" t="str">
        <f>'01_Portfolio_Input'!B42</f>
        <v>CIB037</v>
      </c>
      <c r="C42" s="9" t="str">
        <f>'01_Portfolio_Input'!C42</f>
        <v>Triton Maritime Logistics</v>
      </c>
      <c r="D42" s="9" t="str">
        <f>'01_Portfolio_Input'!D42</f>
        <v>Shipping</v>
      </c>
      <c r="E42" s="10">
        <f>'01_Portfolio_Input'!J42</f>
        <v>297.62</v>
      </c>
      <c r="F42" s="10">
        <f>'01_Portfolio_Input'!T42</f>
        <v>350254.13</v>
      </c>
      <c r="G42" s="10">
        <f>'01_Portfolio_Input'!U42</f>
        <v>12765.46</v>
      </c>
      <c r="H42" s="10">
        <f>'01_Portfolio_Input'!V42</f>
        <v>53647.07</v>
      </c>
      <c r="I42" s="2">
        <f t="shared" si="5"/>
        <v>416666.66000000003</v>
      </c>
      <c r="J42" s="130">
        <f t="shared" si="6"/>
        <v>1399.9954976144077</v>
      </c>
      <c r="K42" s="3">
        <f t="shared" si="7"/>
        <v>0.84060992544975877</v>
      </c>
      <c r="L42" s="3">
        <f t="shared" si="8"/>
        <v>3.0637104490193669E-2</v>
      </c>
      <c r="M42" s="3">
        <f t="shared" si="9"/>
        <v>0.12875297006004752</v>
      </c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</row>
    <row r="43" spans="2:27" ht="14" customHeight="1">
      <c r="B43" s="9" t="str">
        <f>'01_Portfolio_Input'!B43</f>
        <v>CIB038</v>
      </c>
      <c r="C43" s="9" t="str">
        <f>'01_Portfolio_Input'!C43</f>
        <v>Portside Freight Carriers</v>
      </c>
      <c r="D43" s="9" t="str">
        <f>'01_Portfolio_Input'!D43</f>
        <v>Shipping</v>
      </c>
      <c r="E43" s="10">
        <f>'01_Portfolio_Input'!J43</f>
        <v>297.62</v>
      </c>
      <c r="F43" s="10">
        <f>'01_Portfolio_Input'!T43</f>
        <v>350254.13</v>
      </c>
      <c r="G43" s="10">
        <f>'01_Portfolio_Input'!U43</f>
        <v>12765.46</v>
      </c>
      <c r="H43" s="10">
        <f>'01_Portfolio_Input'!V43</f>
        <v>53647.07</v>
      </c>
      <c r="I43" s="2">
        <f t="shared" si="5"/>
        <v>416666.66000000003</v>
      </c>
      <c r="J43" s="130">
        <f t="shared" si="6"/>
        <v>1399.9954976144077</v>
      </c>
      <c r="K43" s="3">
        <f t="shared" si="7"/>
        <v>0.84060992544975877</v>
      </c>
      <c r="L43" s="3">
        <f t="shared" si="8"/>
        <v>3.0637104490193669E-2</v>
      </c>
      <c r="M43" s="3">
        <f t="shared" si="9"/>
        <v>0.12875297006004752</v>
      </c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</row>
    <row r="44" spans="2:27" ht="14" customHeight="1">
      <c r="B44" s="9" t="str">
        <f>'01_Portfolio_Input'!B44</f>
        <v>CIB039</v>
      </c>
      <c r="C44" s="9" t="str">
        <f>'01_Portfolio_Input'!C44</f>
        <v>EonDrive Components</v>
      </c>
      <c r="D44" s="9" t="str">
        <f>'01_Portfolio_Input'!D44</f>
        <v>Automotive</v>
      </c>
      <c r="E44" s="10">
        <f>'01_Portfolio_Input'!J44</f>
        <v>2352.94</v>
      </c>
      <c r="F44" s="10">
        <f>'01_Portfolio_Input'!T44</f>
        <v>107838.04</v>
      </c>
      <c r="G44" s="10">
        <f>'01_Portfolio_Input'!U44</f>
        <v>65130.63</v>
      </c>
      <c r="H44" s="10">
        <f>'01_Portfolio_Input'!V44</f>
        <v>1827031.33</v>
      </c>
      <c r="I44" s="2">
        <f t="shared" si="5"/>
        <v>2000000</v>
      </c>
      <c r="J44" s="130">
        <f t="shared" si="6"/>
        <v>850.00042500021243</v>
      </c>
      <c r="K44" s="3">
        <f t="shared" si="7"/>
        <v>5.3919019999999998E-2</v>
      </c>
      <c r="L44" s="3">
        <f t="shared" si="8"/>
        <v>3.2565314999999997E-2</v>
      </c>
      <c r="M44" s="3">
        <f t="shared" si="9"/>
        <v>0.91351566500000003</v>
      </c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</row>
    <row r="45" spans="2:27" ht="14" customHeight="1">
      <c r="B45" s="9" t="str">
        <f>'01_Portfolio_Input'!B45</f>
        <v>CIB040</v>
      </c>
      <c r="C45" s="9" t="str">
        <f>'01_Portfolio_Input'!C45</f>
        <v>ArcMotion Mobility</v>
      </c>
      <c r="D45" s="9" t="str">
        <f>'01_Portfolio_Input'!D45</f>
        <v>Automotive</v>
      </c>
      <c r="E45" s="10">
        <f>'01_Portfolio_Input'!J45</f>
        <v>2352.94</v>
      </c>
      <c r="F45" s="10">
        <f>'01_Portfolio_Input'!T45</f>
        <v>107838.04</v>
      </c>
      <c r="G45" s="10">
        <f>'01_Portfolio_Input'!U45</f>
        <v>65130.63</v>
      </c>
      <c r="H45" s="10">
        <f>'01_Portfolio_Input'!V45</f>
        <v>1827031.33</v>
      </c>
      <c r="I45" s="2">
        <f t="shared" si="5"/>
        <v>2000000</v>
      </c>
      <c r="J45" s="130">
        <f t="shared" si="6"/>
        <v>850.00042500021243</v>
      </c>
      <c r="K45" s="3">
        <f t="shared" si="7"/>
        <v>5.3919019999999998E-2</v>
      </c>
      <c r="L45" s="3">
        <f t="shared" si="8"/>
        <v>3.2565314999999997E-2</v>
      </c>
      <c r="M45" s="3">
        <f t="shared" si="9"/>
        <v>0.91351566500000003</v>
      </c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</row>
    <row r="46" spans="2:27" ht="14" customHeight="1">
      <c r="B46" s="9" t="str">
        <f>'01_Portfolio_Input'!B46</f>
        <v>CIB041</v>
      </c>
      <c r="C46" s="9" t="str">
        <f>'01_Portfolio_Input'!C46</f>
        <v>PrimeVolt Battery Systems</v>
      </c>
      <c r="D46" s="9" t="str">
        <f>'01_Portfolio_Input'!D46</f>
        <v>Automotive</v>
      </c>
      <c r="E46" s="10">
        <f>'01_Portfolio_Input'!J46</f>
        <v>2352.94</v>
      </c>
      <c r="F46" s="10">
        <f>'01_Portfolio_Input'!T46</f>
        <v>107838.04</v>
      </c>
      <c r="G46" s="10">
        <f>'01_Portfolio_Input'!U46</f>
        <v>65130.63</v>
      </c>
      <c r="H46" s="10">
        <f>'01_Portfolio_Input'!V46</f>
        <v>1827031.33</v>
      </c>
      <c r="I46" s="2">
        <f t="shared" si="5"/>
        <v>2000000</v>
      </c>
      <c r="J46" s="130">
        <f t="shared" si="6"/>
        <v>850.00042500021243</v>
      </c>
      <c r="K46" s="3">
        <f t="shared" si="7"/>
        <v>5.3919019999999998E-2</v>
      </c>
      <c r="L46" s="3">
        <f t="shared" si="8"/>
        <v>3.2565314999999997E-2</v>
      </c>
      <c r="M46" s="3">
        <f t="shared" si="9"/>
        <v>0.91351566500000003</v>
      </c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</row>
    <row r="47" spans="2:27" ht="14" customHeight="1">
      <c r="B47" s="9" t="str">
        <f>'01_Portfolio_Input'!B47</f>
        <v>CIB042</v>
      </c>
      <c r="C47" s="9" t="str">
        <f>'01_Portfolio_Input'!C47</f>
        <v>Sterling Auto Parts</v>
      </c>
      <c r="D47" s="9" t="str">
        <f>'01_Portfolio_Input'!D47</f>
        <v>Automotive</v>
      </c>
      <c r="E47" s="10">
        <f>'01_Portfolio_Input'!J47</f>
        <v>1882.35</v>
      </c>
      <c r="F47" s="10">
        <f>'01_Portfolio_Input'!T47</f>
        <v>86270.43</v>
      </c>
      <c r="G47" s="10">
        <f>'01_Portfolio_Input'!U47</f>
        <v>52104.51</v>
      </c>
      <c r="H47" s="10">
        <f>'01_Portfolio_Input'!V47</f>
        <v>1461625.06</v>
      </c>
      <c r="I47" s="2">
        <f t="shared" si="5"/>
        <v>1600000</v>
      </c>
      <c r="J47" s="130">
        <f t="shared" si="6"/>
        <v>850.00132812707523</v>
      </c>
      <c r="K47" s="3">
        <f t="shared" si="7"/>
        <v>5.3919018749999999E-2</v>
      </c>
      <c r="L47" s="3">
        <f t="shared" si="8"/>
        <v>3.2565318750000002E-2</v>
      </c>
      <c r="M47" s="3">
        <f t="shared" si="9"/>
        <v>0.91351566250000005</v>
      </c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</row>
    <row r="48" spans="2:27" ht="14" customHeight="1">
      <c r="B48" s="9" t="str">
        <f>'01_Portfolio_Input'!B48</f>
        <v>CIB043</v>
      </c>
      <c r="C48" s="9" t="str">
        <f>'01_Portfolio_Input'!C48</f>
        <v>MetroFleet Manufacturing</v>
      </c>
      <c r="D48" s="9" t="str">
        <f>'01_Portfolio_Input'!D48</f>
        <v>Automotive</v>
      </c>
      <c r="E48" s="10">
        <f>'01_Portfolio_Input'!J48</f>
        <v>1882.35</v>
      </c>
      <c r="F48" s="10">
        <f>'01_Portfolio_Input'!T48</f>
        <v>86270.43</v>
      </c>
      <c r="G48" s="10">
        <f>'01_Portfolio_Input'!U48</f>
        <v>52104.51</v>
      </c>
      <c r="H48" s="10">
        <f>'01_Portfolio_Input'!V48</f>
        <v>1461625.06</v>
      </c>
      <c r="I48" s="2">
        <f t="shared" si="5"/>
        <v>1600000</v>
      </c>
      <c r="J48" s="130">
        <f t="shared" si="6"/>
        <v>850.00132812707523</v>
      </c>
      <c r="K48" s="3">
        <f t="shared" si="7"/>
        <v>5.3919018749999999E-2</v>
      </c>
      <c r="L48" s="3">
        <f t="shared" si="8"/>
        <v>3.2565318750000002E-2</v>
      </c>
      <c r="M48" s="3">
        <f t="shared" si="9"/>
        <v>0.91351566250000005</v>
      </c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</row>
    <row r="49" spans="2:27" ht="14" customHeight="1">
      <c r="B49" s="9" t="str">
        <f>'01_Portfolio_Input'!B49</f>
        <v>CIB044</v>
      </c>
      <c r="C49" s="9" t="str">
        <f>'01_Portfolio_Input'!C49</f>
        <v>Fieldstone Nutrition</v>
      </c>
      <c r="D49" s="9" t="str">
        <f>'01_Portfolio_Input'!D49</f>
        <v>Agriculture &amp; Food</v>
      </c>
      <c r="E49" s="10">
        <f>'01_Portfolio_Input'!J49</f>
        <v>277.77999999999997</v>
      </c>
      <c r="F49" s="10">
        <f>'01_Portfolio_Input'!T49</f>
        <v>39927.93</v>
      </c>
      <c r="G49" s="10">
        <f>'01_Portfolio_Input'!U49</f>
        <v>10550.38</v>
      </c>
      <c r="H49" s="10">
        <f>'01_Portfolio_Input'!V49</f>
        <v>199521.69</v>
      </c>
      <c r="I49" s="2">
        <f t="shared" si="5"/>
        <v>250000</v>
      </c>
      <c r="J49" s="130">
        <f t="shared" si="6"/>
        <v>899.99280005759965</v>
      </c>
      <c r="K49" s="3">
        <f t="shared" si="7"/>
        <v>0.15971172</v>
      </c>
      <c r="L49" s="3">
        <f t="shared" si="8"/>
        <v>4.2201519999999999E-2</v>
      </c>
      <c r="M49" s="3">
        <f t="shared" si="9"/>
        <v>0.79808676000000001</v>
      </c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</row>
    <row r="50" spans="2:27" ht="14" customHeight="1">
      <c r="B50" s="9" t="str">
        <f>'01_Portfolio_Input'!B50</f>
        <v>CIB045</v>
      </c>
      <c r="C50" s="9" t="str">
        <f>'01_Portfolio_Input'!C50</f>
        <v>GreenVale Processing</v>
      </c>
      <c r="D50" s="9" t="str">
        <f>'01_Portfolio_Input'!D50</f>
        <v>Agriculture &amp; Food</v>
      </c>
      <c r="E50" s="10">
        <f>'01_Portfolio_Input'!J50</f>
        <v>277.77999999999997</v>
      </c>
      <c r="F50" s="10">
        <f>'01_Portfolio_Input'!T50</f>
        <v>39927.93</v>
      </c>
      <c r="G50" s="10">
        <f>'01_Portfolio_Input'!U50</f>
        <v>10550.38</v>
      </c>
      <c r="H50" s="10">
        <f>'01_Portfolio_Input'!V50</f>
        <v>199521.69</v>
      </c>
      <c r="I50" s="2">
        <f t="shared" si="5"/>
        <v>250000</v>
      </c>
      <c r="J50" s="130">
        <f t="shared" si="6"/>
        <v>899.99280005759965</v>
      </c>
      <c r="K50" s="3">
        <f t="shared" si="7"/>
        <v>0.15971172</v>
      </c>
      <c r="L50" s="3">
        <f t="shared" si="8"/>
        <v>4.2201519999999999E-2</v>
      </c>
      <c r="M50" s="3">
        <f t="shared" si="9"/>
        <v>0.79808676000000001</v>
      </c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</row>
    <row r="51" spans="2:27" ht="14" customHeight="1">
      <c r="B51" s="9" t="str">
        <f>'01_Portfolio_Input'!B51</f>
        <v>CIB046</v>
      </c>
      <c r="C51" s="9" t="str">
        <f>'01_Portfolio_Input'!C51</f>
        <v>HarvestLink Foods</v>
      </c>
      <c r="D51" s="9" t="str">
        <f>'01_Portfolio_Input'!D51</f>
        <v>Agriculture &amp; Food</v>
      </c>
      <c r="E51" s="10">
        <f>'01_Portfolio_Input'!J51</f>
        <v>277.77999999999997</v>
      </c>
      <c r="F51" s="10">
        <f>'01_Portfolio_Input'!T51</f>
        <v>39927.93</v>
      </c>
      <c r="G51" s="10">
        <f>'01_Portfolio_Input'!U51</f>
        <v>10550.38</v>
      </c>
      <c r="H51" s="10">
        <f>'01_Portfolio_Input'!V51</f>
        <v>199521.69</v>
      </c>
      <c r="I51" s="2">
        <f t="shared" si="5"/>
        <v>250000</v>
      </c>
      <c r="J51" s="130">
        <f t="shared" si="6"/>
        <v>899.99280005759965</v>
      </c>
      <c r="K51" s="3">
        <f t="shared" si="7"/>
        <v>0.15971172</v>
      </c>
      <c r="L51" s="3">
        <f t="shared" si="8"/>
        <v>4.2201519999999999E-2</v>
      </c>
      <c r="M51" s="3">
        <f t="shared" si="9"/>
        <v>0.79808676000000001</v>
      </c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</row>
    <row r="52" spans="2:27" ht="14" customHeight="1">
      <c r="B52" s="9" t="str">
        <f>'01_Portfolio_Input'!B52</f>
        <v>CIB047</v>
      </c>
      <c r="C52" s="9" t="str">
        <f>'01_Portfolio_Input'!C52</f>
        <v>Prairie Ingredients</v>
      </c>
      <c r="D52" s="9" t="str">
        <f>'01_Portfolio_Input'!D52</f>
        <v>Agriculture &amp; Food</v>
      </c>
      <c r="E52" s="10">
        <f>'01_Portfolio_Input'!J52</f>
        <v>277.77999999999997</v>
      </c>
      <c r="F52" s="10">
        <f>'01_Portfolio_Input'!T52</f>
        <v>39927.93</v>
      </c>
      <c r="G52" s="10">
        <f>'01_Portfolio_Input'!U52</f>
        <v>10550.38</v>
      </c>
      <c r="H52" s="10">
        <f>'01_Portfolio_Input'!V52</f>
        <v>199521.69</v>
      </c>
      <c r="I52" s="2">
        <f t="shared" si="5"/>
        <v>250000</v>
      </c>
      <c r="J52" s="130">
        <f t="shared" si="6"/>
        <v>899.99280005759965</v>
      </c>
      <c r="K52" s="3">
        <f t="shared" si="7"/>
        <v>0.15971172</v>
      </c>
      <c r="L52" s="3">
        <f t="shared" si="8"/>
        <v>4.2201519999999999E-2</v>
      </c>
      <c r="M52" s="3">
        <f t="shared" si="9"/>
        <v>0.79808676000000001</v>
      </c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</row>
    <row r="53" spans="2:27" ht="14" customHeight="1">
      <c r="B53" s="9" t="str">
        <f>'01_Portfolio_Input'!B53</f>
        <v>CIB048</v>
      </c>
      <c r="C53" s="9" t="str">
        <f>'01_Portfolio_Input'!C53</f>
        <v>MetroCore Offices</v>
      </c>
      <c r="D53" s="9" t="str">
        <f>'01_Portfolio_Input'!D53</f>
        <v>Real Estate</v>
      </c>
      <c r="E53" s="10">
        <f>'01_Portfolio_Input'!J53</f>
        <v>317.45999999999998</v>
      </c>
      <c r="F53" s="10">
        <f>'01_Portfolio_Input'!T53</f>
        <v>19518.93</v>
      </c>
      <c r="G53" s="10">
        <f>'01_Portfolio_Input'!U53</f>
        <v>18458.77</v>
      </c>
      <c r="H53" s="10">
        <f>'01_Portfolio_Input'!V53</f>
        <v>19165.16</v>
      </c>
      <c r="I53" s="2">
        <f t="shared" si="5"/>
        <v>57142.86</v>
      </c>
      <c r="J53" s="130">
        <f t="shared" si="6"/>
        <v>180.00018900018901</v>
      </c>
      <c r="K53" s="3">
        <f t="shared" si="7"/>
        <v>0.34158125792093713</v>
      </c>
      <c r="L53" s="3">
        <f t="shared" si="8"/>
        <v>0.32302845884857706</v>
      </c>
      <c r="M53" s="3">
        <f t="shared" si="9"/>
        <v>0.33539028323048581</v>
      </c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</row>
    <row r="54" spans="2:27" ht="14" customHeight="1">
      <c r="B54" s="9" t="str">
        <f>'01_Portfolio_Input'!B54</f>
        <v>CIB049</v>
      </c>
      <c r="C54" s="9" t="str">
        <f>'01_Portfolio_Input'!C54</f>
        <v>CivicSquare Properties</v>
      </c>
      <c r="D54" s="9" t="str">
        <f>'01_Portfolio_Input'!D54</f>
        <v>Real Estate</v>
      </c>
      <c r="E54" s="10">
        <f>'01_Portfolio_Input'!J54</f>
        <v>317.45999999999998</v>
      </c>
      <c r="F54" s="10">
        <f>'01_Portfolio_Input'!T54</f>
        <v>19518.93</v>
      </c>
      <c r="G54" s="10">
        <f>'01_Portfolio_Input'!U54</f>
        <v>18458.77</v>
      </c>
      <c r="H54" s="10">
        <f>'01_Portfolio_Input'!V54</f>
        <v>19165.16</v>
      </c>
      <c r="I54" s="2">
        <f t="shared" si="5"/>
        <v>57142.86</v>
      </c>
      <c r="J54" s="130">
        <f t="shared" si="6"/>
        <v>180.00018900018901</v>
      </c>
      <c r="K54" s="3">
        <f t="shared" si="7"/>
        <v>0.34158125792093713</v>
      </c>
      <c r="L54" s="3">
        <f t="shared" si="8"/>
        <v>0.32302845884857706</v>
      </c>
      <c r="M54" s="3">
        <f t="shared" si="9"/>
        <v>0.33539028323048581</v>
      </c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</row>
    <row r="55" spans="2:27" ht="14" customHeight="1">
      <c r="B55" s="9" t="str">
        <f>'01_Portfolio_Input'!B55</f>
        <v>CIB050</v>
      </c>
      <c r="C55" s="9" t="str">
        <f>'01_Portfolio_Input'!C55</f>
        <v>Horizon Logistics Parks</v>
      </c>
      <c r="D55" s="9" t="str">
        <f>'01_Portfolio_Input'!D55</f>
        <v>Real Estate</v>
      </c>
      <c r="E55" s="10">
        <f>'01_Portfolio_Input'!J55</f>
        <v>317.45999999999998</v>
      </c>
      <c r="F55" s="10">
        <f>'01_Portfolio_Input'!T55</f>
        <v>19518.93</v>
      </c>
      <c r="G55" s="10">
        <f>'01_Portfolio_Input'!U55</f>
        <v>18458.77</v>
      </c>
      <c r="H55" s="10">
        <f>'01_Portfolio_Input'!V55</f>
        <v>19165.16</v>
      </c>
      <c r="I55" s="2">
        <f t="shared" si="5"/>
        <v>57142.86</v>
      </c>
      <c r="J55" s="130">
        <f t="shared" si="6"/>
        <v>180.00018900018901</v>
      </c>
      <c r="K55" s="3">
        <f t="shared" si="7"/>
        <v>0.34158125792093713</v>
      </c>
      <c r="L55" s="3">
        <f t="shared" si="8"/>
        <v>0.32302845884857706</v>
      </c>
      <c r="M55" s="3">
        <f t="shared" si="9"/>
        <v>0.33539028323048581</v>
      </c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</row>
    <row r="56" spans="2:27" ht="14" customHeight="1">
      <c r="B56" s="9" t="str">
        <f>'01_Portfolio_Input'!B56</f>
        <v>CIB051</v>
      </c>
      <c r="C56" s="9" t="str">
        <f>'01_Portfolio_Input'!C56</f>
        <v>UnionPoint Residential</v>
      </c>
      <c r="D56" s="9" t="str">
        <f>'01_Portfolio_Input'!D56</f>
        <v>Real Estate</v>
      </c>
      <c r="E56" s="10">
        <f>'01_Portfolio_Input'!J56</f>
        <v>317.45999999999998</v>
      </c>
      <c r="F56" s="10">
        <f>'01_Portfolio_Input'!T56</f>
        <v>19518.93</v>
      </c>
      <c r="G56" s="10">
        <f>'01_Portfolio_Input'!U56</f>
        <v>18458.77</v>
      </c>
      <c r="H56" s="10">
        <f>'01_Portfolio_Input'!V56</f>
        <v>19165.16</v>
      </c>
      <c r="I56" s="2">
        <f t="shared" si="5"/>
        <v>57142.86</v>
      </c>
      <c r="J56" s="130">
        <f t="shared" si="6"/>
        <v>180.00018900018901</v>
      </c>
      <c r="K56" s="3">
        <f t="shared" si="7"/>
        <v>0.34158125792093713</v>
      </c>
      <c r="L56" s="3">
        <f t="shared" si="8"/>
        <v>0.32302845884857706</v>
      </c>
      <c r="M56" s="3">
        <f t="shared" si="9"/>
        <v>0.33539028323048581</v>
      </c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</row>
    <row r="57" spans="2:27" ht="14" customHeight="1">
      <c r="B57" s="9" t="str">
        <f>'01_Portfolio_Input'!B57</f>
        <v>CIB052</v>
      </c>
      <c r="C57" s="9" t="str">
        <f>'01_Portfolio_Input'!C57</f>
        <v>Atrium Living Assets</v>
      </c>
      <c r="D57" s="9" t="str">
        <f>'01_Portfolio_Input'!D57</f>
        <v>Real Estate</v>
      </c>
      <c r="E57" s="10">
        <f>'01_Portfolio_Input'!J57</f>
        <v>317.45999999999998</v>
      </c>
      <c r="F57" s="10">
        <f>'01_Portfolio_Input'!T57</f>
        <v>19518.93</v>
      </c>
      <c r="G57" s="10">
        <f>'01_Portfolio_Input'!U57</f>
        <v>18458.77</v>
      </c>
      <c r="H57" s="10">
        <f>'01_Portfolio_Input'!V57</f>
        <v>19165.16</v>
      </c>
      <c r="I57" s="2">
        <f t="shared" si="5"/>
        <v>57142.86</v>
      </c>
      <c r="J57" s="130">
        <f t="shared" si="6"/>
        <v>180.00018900018901</v>
      </c>
      <c r="K57" s="3">
        <f t="shared" si="7"/>
        <v>0.34158125792093713</v>
      </c>
      <c r="L57" s="3">
        <f t="shared" si="8"/>
        <v>0.32302845884857706</v>
      </c>
      <c r="M57" s="3">
        <f t="shared" si="9"/>
        <v>0.33539028323048581</v>
      </c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</row>
    <row r="58" spans="2:27" ht="14" customHeight="1">
      <c r="B58" s="9" t="str">
        <f>'01_Portfolio_Input'!B58</f>
        <v>CIB053</v>
      </c>
      <c r="C58" s="9" t="str">
        <f>'01_Portfolio_Input'!C58</f>
        <v>Mercury Retail Services</v>
      </c>
      <c r="D58" s="9" t="str">
        <f>'01_Portfolio_Input'!D58</f>
        <v>Retail &amp; Services</v>
      </c>
      <c r="E58" s="10">
        <f>'01_Portfolio_Input'!J58</f>
        <v>1538.46</v>
      </c>
      <c r="F58" s="10">
        <f>'01_Portfolio_Input'!T58</f>
        <v>38108.31</v>
      </c>
      <c r="G58" s="10">
        <f>'01_Portfolio_Input'!U58</f>
        <v>40278.300000000003</v>
      </c>
      <c r="H58" s="10">
        <f>'01_Portfolio_Input'!V58</f>
        <v>321613.39</v>
      </c>
      <c r="I58" s="2">
        <f t="shared" si="5"/>
        <v>400000</v>
      </c>
      <c r="J58" s="130">
        <f t="shared" si="6"/>
        <v>260.00026000025997</v>
      </c>
      <c r="K58" s="3">
        <f t="shared" si="7"/>
        <v>9.5270774999999988E-2</v>
      </c>
      <c r="L58" s="3">
        <f t="shared" si="8"/>
        <v>0.10069575</v>
      </c>
      <c r="M58" s="3">
        <f t="shared" si="9"/>
        <v>0.804033475</v>
      </c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</row>
    <row r="59" spans="2:27" ht="14" customHeight="1">
      <c r="B59" s="9" t="str">
        <f>'01_Portfolio_Input'!B59</f>
        <v>CIB054</v>
      </c>
      <c r="C59" s="9" t="str">
        <f>'01_Portfolio_Input'!C59</f>
        <v>Northstar Consumer Group</v>
      </c>
      <c r="D59" s="9" t="str">
        <f>'01_Portfolio_Input'!D59</f>
        <v>Retail &amp; Services</v>
      </c>
      <c r="E59" s="10">
        <f>'01_Portfolio_Input'!J59</f>
        <v>1538.46</v>
      </c>
      <c r="F59" s="10">
        <f>'01_Portfolio_Input'!T59</f>
        <v>38108.31</v>
      </c>
      <c r="G59" s="10">
        <f>'01_Portfolio_Input'!U59</f>
        <v>40278.300000000003</v>
      </c>
      <c r="H59" s="10">
        <f>'01_Portfolio_Input'!V59</f>
        <v>321613.39</v>
      </c>
      <c r="I59" s="2">
        <f t="shared" si="5"/>
        <v>400000</v>
      </c>
      <c r="J59" s="130">
        <f t="shared" si="6"/>
        <v>260.00026000025997</v>
      </c>
      <c r="K59" s="3">
        <f t="shared" si="7"/>
        <v>9.5270774999999988E-2</v>
      </c>
      <c r="L59" s="3">
        <f t="shared" si="8"/>
        <v>0.10069575</v>
      </c>
      <c r="M59" s="3">
        <f t="shared" si="9"/>
        <v>0.804033475</v>
      </c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</row>
    <row r="60" spans="2:27" ht="14" customHeight="1">
      <c r="B60" s="9" t="str">
        <f>'01_Portfolio_Input'!B60</f>
        <v>CIB055</v>
      </c>
      <c r="C60" s="9" t="str">
        <f>'01_Portfolio_Input'!C60</f>
        <v>Luna Hospitality Services</v>
      </c>
      <c r="D60" s="9" t="str">
        <f>'01_Portfolio_Input'!D60</f>
        <v>Retail &amp; Services</v>
      </c>
      <c r="E60" s="10">
        <f>'01_Portfolio_Input'!J60</f>
        <v>1538.46</v>
      </c>
      <c r="F60" s="10">
        <f>'01_Portfolio_Input'!T60</f>
        <v>38108.31</v>
      </c>
      <c r="G60" s="10">
        <f>'01_Portfolio_Input'!U60</f>
        <v>40278.300000000003</v>
      </c>
      <c r="H60" s="10">
        <f>'01_Portfolio_Input'!V60</f>
        <v>321613.39</v>
      </c>
      <c r="I60" s="2">
        <f t="shared" si="5"/>
        <v>400000</v>
      </c>
      <c r="J60" s="130">
        <f t="shared" si="6"/>
        <v>260.00026000025997</v>
      </c>
      <c r="K60" s="3">
        <f t="shared" si="7"/>
        <v>9.5270774999999988E-2</v>
      </c>
      <c r="L60" s="3">
        <f t="shared" si="8"/>
        <v>0.10069575</v>
      </c>
      <c r="M60" s="3">
        <f t="shared" si="9"/>
        <v>0.804033475</v>
      </c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</row>
    <row r="61" spans="2:27" ht="14" customHeight="1">
      <c r="B61" s="9" t="str">
        <f>'01_Portfolio_Input'!B61</f>
        <v>CIB056</v>
      </c>
      <c r="C61" s="9" t="str">
        <f>'01_Portfolio_Input'!C61</f>
        <v>ClearPath Business Services</v>
      </c>
      <c r="D61" s="9" t="str">
        <f>'01_Portfolio_Input'!D61</f>
        <v>Retail &amp; Services</v>
      </c>
      <c r="E61" s="10">
        <f>'01_Portfolio_Input'!J61</f>
        <v>1153.8499999999999</v>
      </c>
      <c r="F61" s="10">
        <f>'01_Portfolio_Input'!T61</f>
        <v>28581.24</v>
      </c>
      <c r="G61" s="10">
        <f>'01_Portfolio_Input'!U61</f>
        <v>30208.720000000001</v>
      </c>
      <c r="H61" s="10">
        <f>'01_Portfolio_Input'!V61</f>
        <v>241210.04</v>
      </c>
      <c r="I61" s="2">
        <f t="shared" si="5"/>
        <v>300000</v>
      </c>
      <c r="J61" s="130">
        <f t="shared" si="6"/>
        <v>259.99913333622226</v>
      </c>
      <c r="K61" s="3">
        <f t="shared" si="7"/>
        <v>9.5270800000000003E-2</v>
      </c>
      <c r="L61" s="3">
        <f t="shared" si="8"/>
        <v>0.10069573333333334</v>
      </c>
      <c r="M61" s="3">
        <f t="shared" si="9"/>
        <v>0.80403346666666664</v>
      </c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</row>
    <row r="62" spans="2:27" ht="14" customHeight="1">
      <c r="B62" s="9" t="str">
        <f>'01_Portfolio_Input'!B62</f>
        <v>CIB057</v>
      </c>
      <c r="C62" s="9" t="str">
        <f>'01_Portfolio_Input'!C62</f>
        <v>Cobalt Digital Services</v>
      </c>
      <c r="D62" s="9" t="str">
        <f>'01_Portfolio_Input'!D62</f>
        <v>Retail &amp; Services</v>
      </c>
      <c r="E62" s="10">
        <f>'01_Portfolio_Input'!J62</f>
        <v>1153.8499999999999</v>
      </c>
      <c r="F62" s="10">
        <f>'01_Portfolio_Input'!T62</f>
        <v>28581.24</v>
      </c>
      <c r="G62" s="10">
        <f>'01_Portfolio_Input'!U62</f>
        <v>30208.720000000001</v>
      </c>
      <c r="H62" s="10">
        <f>'01_Portfolio_Input'!V62</f>
        <v>241210.04</v>
      </c>
      <c r="I62" s="2">
        <f t="shared" si="5"/>
        <v>300000</v>
      </c>
      <c r="J62" s="130">
        <f t="shared" si="6"/>
        <v>259.99913333622226</v>
      </c>
      <c r="K62" s="3">
        <f t="shared" si="7"/>
        <v>9.5270800000000003E-2</v>
      </c>
      <c r="L62" s="3">
        <f t="shared" si="8"/>
        <v>0.10069573333333334</v>
      </c>
      <c r="M62" s="3">
        <f t="shared" si="9"/>
        <v>0.80403346666666664</v>
      </c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</row>
    <row r="63" spans="2:27" ht="14" customHeight="1">
      <c r="B63" s="9" t="str">
        <f>'01_Portfolio_Input'!B63</f>
        <v>CIB058</v>
      </c>
      <c r="C63" s="9" t="str">
        <f>'01_Portfolio_Input'!C63</f>
        <v>Meridian Retail Parks</v>
      </c>
      <c r="D63" s="9" t="str">
        <f>'01_Portfolio_Input'!D63</f>
        <v>Retail &amp; Services</v>
      </c>
      <c r="E63" s="10">
        <f>'01_Portfolio_Input'!J63</f>
        <v>1153.8499999999999</v>
      </c>
      <c r="F63" s="10">
        <f>'01_Portfolio_Input'!T63</f>
        <v>28581.24</v>
      </c>
      <c r="G63" s="10">
        <f>'01_Portfolio_Input'!U63</f>
        <v>30208.720000000001</v>
      </c>
      <c r="H63" s="10">
        <f>'01_Portfolio_Input'!V63</f>
        <v>241210.04</v>
      </c>
      <c r="I63" s="2">
        <f t="shared" si="5"/>
        <v>300000</v>
      </c>
      <c r="J63" s="130">
        <f t="shared" si="6"/>
        <v>259.99913333622226</v>
      </c>
      <c r="K63" s="3">
        <f t="shared" si="7"/>
        <v>9.5270800000000003E-2</v>
      </c>
      <c r="L63" s="3">
        <f t="shared" si="8"/>
        <v>0.10069573333333334</v>
      </c>
      <c r="M63" s="3">
        <f t="shared" si="9"/>
        <v>0.80403346666666664</v>
      </c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</row>
    <row r="64" spans="2:27" ht="14" customHeight="1">
      <c r="B64" s="9" t="str">
        <f>'01_Portfolio_Input'!B64</f>
        <v>CIB059</v>
      </c>
      <c r="C64" s="9" t="str">
        <f>'01_Portfolio_Input'!C64</f>
        <v>Summit Care Services</v>
      </c>
      <c r="D64" s="9" t="str">
        <f>'01_Portfolio_Input'!D64</f>
        <v>Retail &amp; Services</v>
      </c>
      <c r="E64" s="10">
        <f>'01_Portfolio_Input'!J64</f>
        <v>1153.8499999999999</v>
      </c>
      <c r="F64" s="10">
        <f>'01_Portfolio_Input'!T64</f>
        <v>28581.24</v>
      </c>
      <c r="G64" s="10">
        <f>'01_Portfolio_Input'!U64</f>
        <v>30208.720000000001</v>
      </c>
      <c r="H64" s="10">
        <f>'01_Portfolio_Input'!V64</f>
        <v>241210.04</v>
      </c>
      <c r="I64" s="2">
        <f t="shared" si="5"/>
        <v>300000</v>
      </c>
      <c r="J64" s="130">
        <f t="shared" si="6"/>
        <v>259.99913333622226</v>
      </c>
      <c r="K64" s="3">
        <f t="shared" si="7"/>
        <v>9.5270800000000003E-2</v>
      </c>
      <c r="L64" s="3">
        <f t="shared" si="8"/>
        <v>0.10069573333333334</v>
      </c>
      <c r="M64" s="3">
        <f t="shared" si="9"/>
        <v>0.80403346666666664</v>
      </c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</row>
    <row r="65" spans="1:63" ht="14" customHeight="1">
      <c r="B65" s="9" t="str">
        <f>'01_Portfolio_Input'!B65</f>
        <v>CIB060</v>
      </c>
      <c r="C65" s="9" t="str">
        <f>'01_Portfolio_Input'!C65</f>
        <v>AtlasPoint Services</v>
      </c>
      <c r="D65" s="9" t="str">
        <f>'01_Portfolio_Input'!D65</f>
        <v>Retail &amp; Services</v>
      </c>
      <c r="E65" s="10">
        <f>'01_Portfolio_Input'!J65</f>
        <v>769.23</v>
      </c>
      <c r="F65" s="10">
        <f>'01_Portfolio_Input'!T65</f>
        <v>19054.16</v>
      </c>
      <c r="G65" s="10">
        <f>'01_Portfolio_Input'!U65</f>
        <v>20139.150000000001</v>
      </c>
      <c r="H65" s="10">
        <f>'01_Portfolio_Input'!V65</f>
        <v>160806.69</v>
      </c>
      <c r="I65" s="2">
        <f t="shared" si="5"/>
        <v>200000</v>
      </c>
      <c r="J65" s="130">
        <f t="shared" si="6"/>
        <v>260.00026000025997</v>
      </c>
      <c r="K65" s="3">
        <f t="shared" si="7"/>
        <v>9.5270800000000003E-2</v>
      </c>
      <c r="L65" s="3">
        <f t="shared" si="8"/>
        <v>0.10069575</v>
      </c>
      <c r="M65" s="3">
        <f t="shared" si="9"/>
        <v>0.80403345000000004</v>
      </c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</row>
    <row r="66" spans="1:63"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</row>
    <row r="67" spans="1:63" ht="18">
      <c r="A67" s="74" t="s">
        <v>11</v>
      </c>
      <c r="B67" s="116"/>
      <c r="C67" s="117"/>
      <c r="D67" s="117"/>
      <c r="E67" s="117"/>
      <c r="F67" s="117"/>
      <c r="G67" s="117"/>
      <c r="H67" s="117"/>
      <c r="I67" s="118"/>
      <c r="J67" s="118"/>
      <c r="K67" s="118"/>
      <c r="L67" s="118"/>
      <c r="M67" s="118"/>
      <c r="N67" s="118"/>
      <c r="O67" s="120"/>
      <c r="P67" s="120"/>
      <c r="Q67" s="120"/>
      <c r="R67" s="120"/>
      <c r="S67" s="120"/>
      <c r="T67" s="120"/>
      <c r="U67" s="120"/>
      <c r="V67" s="120"/>
      <c r="W67" s="120"/>
      <c r="X67" s="120"/>
      <c r="Y67" s="120"/>
      <c r="Z67" s="120"/>
      <c r="AA67" s="120"/>
      <c r="AB67" s="120"/>
      <c r="AC67" s="120"/>
      <c r="AD67" s="120"/>
      <c r="AE67" s="120"/>
      <c r="AF67" s="120"/>
      <c r="AG67" s="120"/>
      <c r="AH67" s="120"/>
      <c r="AI67" s="120"/>
      <c r="AJ67" s="120"/>
      <c r="AK67" s="120"/>
      <c r="AL67" s="120"/>
      <c r="AM67" s="120"/>
      <c r="AN67" s="120"/>
      <c r="AO67" s="120"/>
      <c r="AP67" s="120"/>
      <c r="AQ67" s="120"/>
      <c r="AR67" s="120"/>
      <c r="AS67" s="120"/>
      <c r="AT67" s="120"/>
      <c r="AU67" s="120"/>
      <c r="AV67" s="120"/>
      <c r="AW67" s="120"/>
      <c r="AX67" s="120"/>
      <c r="AY67" s="120"/>
      <c r="AZ67" s="120"/>
      <c r="BA67" s="120"/>
      <c r="BB67" s="120"/>
      <c r="BC67" s="120"/>
      <c r="BD67" s="120"/>
      <c r="BE67" s="120"/>
      <c r="BF67" s="120"/>
      <c r="BG67" s="120"/>
      <c r="BH67" s="120"/>
      <c r="BI67" s="120"/>
      <c r="BJ67" s="120"/>
      <c r="BK67" s="120"/>
    </row>
    <row r="68" spans="1:63"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</row>
    <row r="69" spans="1:63" hidden="1"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</row>
    <row r="70" spans="1:63" hidden="1"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</row>
    <row r="71" spans="1:63" hidden="1"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</row>
    <row r="72" spans="1:63" hidden="1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</row>
    <row r="73" spans="1:63" hidden="1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</row>
    <row r="74" spans="1:63" hidden="1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</row>
    <row r="75" spans="1:63" hidden="1"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</row>
    <row r="76" spans="1:63" hidden="1"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</row>
    <row r="77" spans="1:63" hidden="1"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</row>
    <row r="78" spans="1:63" hidden="1"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</row>
    <row r="79" spans="1:63" hidden="1"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</row>
    <row r="80" spans="1:63" hidden="1"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</row>
    <row r="81" spans="2:27" hidden="1"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</row>
    <row r="82" spans="2:27" hidden="1"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</row>
    <row r="83" spans="2:27" hidden="1"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</row>
    <row r="84" spans="2:27" hidden="1"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</row>
    <row r="85" spans="2:27" hidden="1"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</row>
    <row r="86" spans="2:27" hidden="1"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</row>
    <row r="87" spans="2:27" hidden="1"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</row>
    <row r="88" spans="2:27" hidden="1"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</row>
    <row r="89" spans="2:27" hidden="1"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</row>
    <row r="90" spans="2:27" hidden="1"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</row>
    <row r="91" spans="2:27" hidden="1"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</row>
    <row r="92" spans="2:27" hidden="1"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</row>
    <row r="93" spans="2:27" hidden="1"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</row>
    <row r="94" spans="2:27" hidden="1"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</row>
    <row r="95" spans="2:27" hidden="1"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</row>
    <row r="96" spans="2:27" hidden="1"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</row>
    <row r="97" spans="2:27" hidden="1"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</row>
    <row r="98" spans="2:27" hidden="1"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</row>
    <row r="99" spans="2:27" hidden="1"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</row>
    <row r="100" spans="2:27" hidden="1"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</row>
    <row r="101" spans="2:27" hidden="1"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</row>
    <row r="102" spans="2:27" hidden="1"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</row>
    <row r="103" spans="2:27" hidden="1"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</row>
    <row r="104" spans="2:27" hidden="1"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K118"/>
  <sheetViews>
    <sheetView showGridLines="0" zoomScaleNormal="100" workbookViewId="0">
      <pane xSplit="4" ySplit="5" topLeftCell="E6" activePane="bottomRight" state="frozen"/>
      <selection pane="topRight" activeCell="E1" sqref="E1"/>
      <selection pane="bottomLeft" activeCell="A6" sqref="A6"/>
      <selection pane="bottomRight"/>
    </sheetView>
  </sheetViews>
  <sheetFormatPr baseColWidth="10" defaultRowHeight="14" zeroHeight="1"/>
  <cols>
    <col min="1" max="1" width="2.83203125" customWidth="1"/>
    <col min="2" max="2" width="15.1640625" customWidth="1"/>
    <col min="3" max="3" width="26.33203125" customWidth="1"/>
    <col min="4" max="6" width="24.6640625" customWidth="1"/>
    <col min="7" max="7" width="29" customWidth="1"/>
    <col min="8" max="8" width="24.6640625" customWidth="1"/>
    <col min="9" max="10" width="23.6640625" customWidth="1"/>
    <col min="11" max="11" width="30.83203125" customWidth="1"/>
    <col min="12" max="12" width="27" customWidth="1"/>
    <col min="13" max="13" width="14.6640625" customWidth="1"/>
    <col min="14" max="14" width="15.33203125" customWidth="1"/>
    <col min="15" max="15" width="8.33203125" customWidth="1"/>
    <col min="16" max="17" width="8.83203125" customWidth="1"/>
  </cols>
  <sheetData>
    <row r="1" spans="1:62" ht="47" customHeight="1">
      <c r="A1" s="132" t="s">
        <v>230</v>
      </c>
      <c r="B1" s="21"/>
      <c r="C1" s="21"/>
      <c r="D1" s="21"/>
      <c r="E1" s="21"/>
      <c r="F1" s="21"/>
      <c r="G1" s="21"/>
      <c r="H1" s="22"/>
      <c r="I1" s="22"/>
      <c r="J1" s="22"/>
      <c r="K1" s="22"/>
      <c r="L1" s="22"/>
      <c r="M1" s="22"/>
      <c r="N1" s="22"/>
      <c r="O1" s="22"/>
      <c r="P1" s="22"/>
      <c r="Q1" s="22"/>
      <c r="R1" s="119"/>
      <c r="S1" s="119"/>
      <c r="T1" s="119"/>
      <c r="U1" s="119"/>
      <c r="V1" s="119"/>
      <c r="W1" s="119"/>
      <c r="X1" s="119"/>
      <c r="Y1" s="119"/>
      <c r="Z1" s="119"/>
      <c r="AA1" s="119"/>
      <c r="AB1" s="119"/>
      <c r="AC1" s="119"/>
      <c r="AD1" s="119"/>
      <c r="AE1" s="119"/>
      <c r="AF1" s="119"/>
      <c r="AG1" s="119"/>
      <c r="AH1" s="119"/>
      <c r="AI1" s="119"/>
      <c r="AJ1" s="119"/>
      <c r="AK1" s="119"/>
      <c r="AL1" s="119"/>
      <c r="AM1" s="119"/>
      <c r="AN1" s="119"/>
      <c r="AO1" s="119"/>
      <c r="AP1" s="119"/>
      <c r="AQ1" s="119"/>
      <c r="AR1" s="119"/>
      <c r="AS1" s="119"/>
      <c r="AT1" s="119"/>
      <c r="AU1" s="119"/>
      <c r="AV1" s="119"/>
      <c r="AW1" s="119"/>
      <c r="AX1" s="119"/>
      <c r="AY1" s="119"/>
      <c r="AZ1" s="119"/>
      <c r="BA1" s="119"/>
      <c r="BB1" s="119"/>
      <c r="BC1" s="119"/>
      <c r="BD1" s="119"/>
      <c r="BE1" s="119"/>
      <c r="BF1" s="119"/>
      <c r="BG1" s="119"/>
      <c r="BH1" s="119"/>
      <c r="BI1" s="119"/>
      <c r="BJ1" s="119"/>
    </row>
    <row r="2" spans="1:62" ht="15">
      <c r="A2" s="34" t="s">
        <v>231</v>
      </c>
      <c r="B2" s="25"/>
      <c r="C2" s="26"/>
      <c r="D2" s="25"/>
      <c r="E2" s="27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129"/>
      <c r="S2" s="129"/>
      <c r="T2" s="129"/>
      <c r="U2" s="129"/>
      <c r="V2" s="129"/>
      <c r="W2" s="129"/>
      <c r="X2" s="129"/>
      <c r="Y2" s="129"/>
      <c r="Z2" s="129"/>
      <c r="AA2" s="129"/>
      <c r="AB2" s="129"/>
      <c r="AC2" s="129"/>
      <c r="AD2" s="129"/>
      <c r="AE2" s="129"/>
      <c r="AF2" s="129"/>
      <c r="AG2" s="129"/>
      <c r="AH2" s="129"/>
      <c r="AI2" s="129"/>
      <c r="AJ2" s="129"/>
      <c r="AK2" s="129"/>
      <c r="AL2" s="129"/>
      <c r="AM2" s="129"/>
      <c r="AN2" s="129"/>
      <c r="AO2" s="129"/>
      <c r="AP2" s="129"/>
      <c r="AQ2" s="129"/>
      <c r="AR2" s="129"/>
      <c r="AS2" s="129"/>
      <c r="AT2" s="129"/>
      <c r="AU2" s="129"/>
      <c r="AV2" s="129"/>
      <c r="AW2" s="129"/>
      <c r="AX2" s="129"/>
      <c r="AY2" s="129"/>
      <c r="AZ2" s="129"/>
      <c r="BA2" s="129"/>
      <c r="BB2" s="129"/>
      <c r="BC2" s="129"/>
      <c r="BD2" s="129"/>
      <c r="BE2" s="129"/>
      <c r="BF2" s="129"/>
      <c r="BG2" s="129"/>
      <c r="BH2" s="129"/>
      <c r="BI2" s="129"/>
      <c r="BJ2" s="129"/>
    </row>
    <row r="3" spans="1:62"/>
    <row r="4" spans="1:62" ht="15">
      <c r="A4" t="s">
        <v>11</v>
      </c>
      <c r="B4" s="32" t="s">
        <v>232</v>
      </c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62" ht="17" customHeight="1">
      <c r="B5" s="114" t="s">
        <v>12</v>
      </c>
      <c r="C5" s="114" t="s">
        <v>13</v>
      </c>
      <c r="D5" s="114" t="s">
        <v>14</v>
      </c>
      <c r="E5" s="133" t="s">
        <v>19</v>
      </c>
      <c r="F5" s="133" t="s">
        <v>29</v>
      </c>
      <c r="G5" s="134" t="s">
        <v>233</v>
      </c>
      <c r="H5" s="135" t="s">
        <v>234</v>
      </c>
      <c r="I5" s="135" t="s">
        <v>235</v>
      </c>
      <c r="J5" s="135" t="s">
        <v>236</v>
      </c>
      <c r="K5" s="135" t="s">
        <v>237</v>
      </c>
      <c r="L5" s="135" t="s">
        <v>238</v>
      </c>
      <c r="M5" s="134" t="s">
        <v>239</v>
      </c>
      <c r="N5" s="114" t="s">
        <v>240</v>
      </c>
      <c r="O5" s="114" t="s">
        <v>241</v>
      </c>
      <c r="P5" s="79"/>
      <c r="Q5" s="4"/>
      <c r="R5" s="4"/>
      <c r="S5" s="4"/>
      <c r="T5" s="4"/>
      <c r="U5" s="4"/>
      <c r="V5" s="4"/>
      <c r="W5" s="4"/>
      <c r="X5" s="4"/>
      <c r="Y5" s="4"/>
      <c r="Z5" s="4"/>
      <c r="AA5" s="4"/>
    </row>
    <row r="6" spans="1:62" ht="12" customHeight="1">
      <c r="B6" s="9" t="str">
        <f>'01_Portfolio_Input'!B6</f>
        <v>CIB001</v>
      </c>
      <c r="C6" s="9" t="str">
        <f>'01_Portfolio_Input'!C6</f>
        <v>Helios Steel Group</v>
      </c>
      <c r="D6" s="9" t="str">
        <f>'01_Portfolio_Input'!D6</f>
        <v>Steel</v>
      </c>
      <c r="E6" s="10">
        <f>'01_Portfolio_Input'!I6</f>
        <v>160</v>
      </c>
      <c r="F6" s="10">
        <f>'01_Portfolio_Input'!S6</f>
        <v>2909.0903929069564</v>
      </c>
      <c r="G6" s="3">
        <f t="shared" ref="G6:G37" si="0">IFERROR(E6/F6,0)</f>
        <v>5.5000009759104587E-2</v>
      </c>
      <c r="H6" s="2">
        <f>G6*'01_Portfolio_Input'!T6</f>
        <v>427119.25508728623</v>
      </c>
      <c r="I6" s="2">
        <f>G6*'01_Portfolio_Input'!U6</f>
        <v>116280.12413253986</v>
      </c>
      <c r="J6" s="2">
        <f>G6*'01_Portfolio_Input'!V6</f>
        <v>146600.74346257697</v>
      </c>
      <c r="K6" s="2">
        <f t="shared" ref="K6:K37" si="1">SUM(H6:J6)</f>
        <v>690000.12268240307</v>
      </c>
      <c r="L6" s="130">
        <f t="shared" ref="L6:L37" si="2">K6/1000</f>
        <v>690.00012268240312</v>
      </c>
      <c r="M6" s="3">
        <f t="shared" ref="M6:M37" si="3">IFERROR(L6/SUM($L$6:$L$65),0)</f>
        <v>8.5185234707095603E-2</v>
      </c>
      <c r="N6" s="7">
        <f t="shared" ref="N6:N37" si="4">RANK(L6,$L$6:$L$65,0)</f>
        <v>1</v>
      </c>
      <c r="O6" s="4" t="b">
        <f t="shared" ref="O6:O37" si="5">N6&lt;=10</f>
        <v>1</v>
      </c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spans="1:62" ht="12" customHeight="1">
      <c r="B7" s="9" t="str">
        <f>'01_Portfolio_Input'!B7</f>
        <v>CIB002</v>
      </c>
      <c r="C7" s="9" t="str">
        <f>'01_Portfolio_Input'!C7</f>
        <v>Aster Energy Holdings</v>
      </c>
      <c r="D7" s="9" t="str">
        <f>'01_Portfolio_Input'!D7</f>
        <v>Oil &amp; Gas</v>
      </c>
      <c r="E7" s="10">
        <f>'01_Portfolio_Input'!I7</f>
        <v>250</v>
      </c>
      <c r="F7" s="10">
        <f>'01_Portfolio_Input'!S7</f>
        <v>5555.5600615353724</v>
      </c>
      <c r="G7" s="3">
        <f t="shared" si="0"/>
        <v>4.4999963501593084E-2</v>
      </c>
      <c r="H7" s="2">
        <f>G7*'01_Portfolio_Input'!T7</f>
        <v>52108.474086048147</v>
      </c>
      <c r="I7" s="2">
        <f>G7*'01_Portfolio_Input'!U7</f>
        <v>15020.634567118284</v>
      </c>
      <c r="J7" s="2">
        <f>G7*'01_Portfolio_Input'!V7</f>
        <v>542870.39679065079</v>
      </c>
      <c r="K7" s="2">
        <f t="shared" si="1"/>
        <v>609999.50544381724</v>
      </c>
      <c r="L7" s="130">
        <f t="shared" si="2"/>
        <v>609.99950544381727</v>
      </c>
      <c r="M7" s="3">
        <f t="shared" si="3"/>
        <v>7.530861130927885E-2</v>
      </c>
      <c r="N7" s="7">
        <f t="shared" si="4"/>
        <v>2</v>
      </c>
      <c r="O7" s="4" t="b">
        <f t="shared" si="5"/>
        <v>1</v>
      </c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</row>
    <row r="8" spans="1:62" ht="12" customHeight="1">
      <c r="B8" s="9" t="str">
        <f>'01_Portfolio_Input'!B8</f>
        <v>CIB003</v>
      </c>
      <c r="C8" s="9" t="str">
        <f>'01_Portfolio_Input'!C8</f>
        <v>Orion Grid Infrastructure</v>
      </c>
      <c r="D8" s="9" t="str">
        <f>'01_Portfolio_Input'!D8</f>
        <v>Power &amp; Utilities</v>
      </c>
      <c r="E8" s="10">
        <f>'01_Portfolio_Input'!I8</f>
        <v>210</v>
      </c>
      <c r="F8" s="10">
        <f>'01_Portfolio_Input'!S8</f>
        <v>5250.0104531562511</v>
      </c>
      <c r="G8" s="3">
        <f t="shared" si="0"/>
        <v>3.9999920357063332E-2</v>
      </c>
      <c r="H8" s="2">
        <f>G8*'01_Portfolio_Input'!T8</f>
        <v>413495.68669809104</v>
      </c>
      <c r="I8" s="2">
        <f>G8*'01_Portfolio_Input'!U8</f>
        <v>28752.70755113435</v>
      </c>
      <c r="J8" s="2">
        <f>G8*'01_Portfolio_Input'!V8</f>
        <v>137750.45092819291</v>
      </c>
      <c r="K8" s="2">
        <f t="shared" si="1"/>
        <v>579998.84517741832</v>
      </c>
      <c r="L8" s="130">
        <f t="shared" si="2"/>
        <v>579.99884517741827</v>
      </c>
      <c r="M8" s="3">
        <f t="shared" si="3"/>
        <v>7.1604824596566405E-2</v>
      </c>
      <c r="N8" s="7">
        <f t="shared" si="4"/>
        <v>3</v>
      </c>
      <c r="O8" s="4" t="b">
        <f t="shared" si="5"/>
        <v>1</v>
      </c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</row>
    <row r="9" spans="1:62" ht="12" customHeight="1">
      <c r="B9" s="9" t="str">
        <f>'01_Portfolio_Input'!B9</f>
        <v>CIB004</v>
      </c>
      <c r="C9" s="9" t="str">
        <f>'01_Portfolio_Input'!C9</f>
        <v>Nova Cement Materials</v>
      </c>
      <c r="D9" s="9" t="str">
        <f>'01_Portfolio_Input'!D9</f>
        <v>Cement</v>
      </c>
      <c r="E9" s="10">
        <f>'01_Portfolio_Input'!I9</f>
        <v>120</v>
      </c>
      <c r="F9" s="10">
        <f>'01_Portfolio_Input'!S9</f>
        <v>2400.00941373555</v>
      </c>
      <c r="G9" s="3">
        <f t="shared" si="0"/>
        <v>4.9999803881278629E-2</v>
      </c>
      <c r="H9" s="2">
        <f>G9*'01_Portfolio_Input'!T9</f>
        <v>426666.04344945785</v>
      </c>
      <c r="I9" s="2">
        <f>G9*'01_Portfolio_Input'!U9</f>
        <v>43996.240429594749</v>
      </c>
      <c r="J9" s="2">
        <f>G9*'01_Portfolio_Input'!V9</f>
        <v>69335.598038756609</v>
      </c>
      <c r="K9" s="2">
        <f t="shared" si="1"/>
        <v>539997.88191780925</v>
      </c>
      <c r="L9" s="130">
        <f t="shared" si="2"/>
        <v>539.99788191780931</v>
      </c>
      <c r="M9" s="3">
        <f t="shared" si="3"/>
        <v>6.6666432077833307E-2</v>
      </c>
      <c r="N9" s="7">
        <f t="shared" si="4"/>
        <v>4</v>
      </c>
      <c r="O9" s="4" t="b">
        <f t="shared" si="5"/>
        <v>1</v>
      </c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</row>
    <row r="10" spans="1:62" ht="12" customHeight="1">
      <c r="B10" s="9" t="str">
        <f>'01_Portfolio_Input'!B10</f>
        <v>CIB005</v>
      </c>
      <c r="C10" s="9" t="str">
        <f>'01_Portfolio_Input'!C10</f>
        <v>Mariner Aviation Systems</v>
      </c>
      <c r="D10" s="9" t="str">
        <f>'01_Portfolio_Input'!D10</f>
        <v>Aviation</v>
      </c>
      <c r="E10" s="10">
        <f>'01_Portfolio_Input'!I10</f>
        <v>150</v>
      </c>
      <c r="F10" s="10">
        <f>'01_Portfolio_Input'!S10</f>
        <v>2499.9942047755439</v>
      </c>
      <c r="G10" s="3">
        <f t="shared" si="0"/>
        <v>6.0000139085709357E-2</v>
      </c>
      <c r="H10" s="2">
        <f>G10*'01_Portfolio_Input'!T10</f>
        <v>405182.07504842815</v>
      </c>
      <c r="I10" s="2">
        <f>G10*'01_Portfolio_Input'!U10</f>
        <v>14599.572843120635</v>
      </c>
      <c r="J10" s="2">
        <f>G10*'01_Portfolio_Input'!V10</f>
        <v>55219.452803649328</v>
      </c>
      <c r="K10" s="2">
        <f t="shared" si="1"/>
        <v>475001.10069519805</v>
      </c>
      <c r="L10" s="130">
        <f t="shared" si="2"/>
        <v>475.00110069519803</v>
      </c>
      <c r="M10" s="3">
        <f t="shared" si="3"/>
        <v>5.8642134861581402E-2</v>
      </c>
      <c r="N10" s="7">
        <f t="shared" si="4"/>
        <v>5</v>
      </c>
      <c r="O10" s="4" t="b">
        <f t="shared" si="5"/>
        <v>1</v>
      </c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</row>
    <row r="11" spans="1:62" ht="12" customHeight="1">
      <c r="B11" s="9" t="str">
        <f>'01_Portfolio_Input'!B11</f>
        <v>CIB006</v>
      </c>
      <c r="C11" s="9" t="str">
        <f>'01_Portfolio_Input'!C11</f>
        <v>BlueHarbor Shipping</v>
      </c>
      <c r="D11" s="9" t="str">
        <f>'01_Portfolio_Input'!D11</f>
        <v>Shipping</v>
      </c>
      <c r="E11" s="10">
        <f>'01_Portfolio_Input'!I11</f>
        <v>160</v>
      </c>
      <c r="F11" s="10">
        <f>'01_Portfolio_Input'!S11</f>
        <v>2666.6720988164006</v>
      </c>
      <c r="G11" s="3">
        <f t="shared" si="0"/>
        <v>5.9999877776879963E-2</v>
      </c>
      <c r="H11" s="2">
        <f>G11*'01_Portfolio_Input'!T11</f>
        <v>374070.64619708952</v>
      </c>
      <c r="I11" s="2">
        <f>G11*'01_Portfolio_Input'!U11</f>
        <v>13633.487827819772</v>
      </c>
      <c r="J11" s="2">
        <f>G11*'01_Portfolio_Input'!V11</f>
        <v>57294.959086951218</v>
      </c>
      <c r="K11" s="2">
        <f t="shared" si="1"/>
        <v>444999.09311186051</v>
      </c>
      <c r="L11" s="130">
        <f t="shared" si="2"/>
        <v>444.99909311186053</v>
      </c>
      <c r="M11" s="3">
        <f t="shared" si="3"/>
        <v>5.4938181813377333E-2</v>
      </c>
      <c r="N11" s="7">
        <f t="shared" si="4"/>
        <v>6</v>
      </c>
      <c r="O11" s="4" t="b">
        <f t="shared" si="5"/>
        <v>1</v>
      </c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</row>
    <row r="12" spans="1:62" ht="12" customHeight="1">
      <c r="B12" s="9" t="str">
        <f>'01_Portfolio_Input'!B12</f>
        <v>CIB007</v>
      </c>
      <c r="C12" s="9" t="str">
        <f>'01_Portfolio_Input'!C12</f>
        <v>Caldera Petrochem Industries</v>
      </c>
      <c r="D12" s="9" t="str">
        <f>'01_Portfolio_Input'!D12</f>
        <v>Chemicals</v>
      </c>
      <c r="E12" s="10">
        <f>'01_Portfolio_Input'!I12</f>
        <v>180</v>
      </c>
      <c r="F12" s="10">
        <f>'01_Portfolio_Input'!S12</f>
        <v>4000.0051551816659</v>
      </c>
      <c r="G12" s="3">
        <f t="shared" si="0"/>
        <v>4.4999942004281E-2</v>
      </c>
      <c r="H12" s="2">
        <f>G12*'01_Portfolio_Input'!T12</f>
        <v>153177.12868601864</v>
      </c>
      <c r="I12" s="2">
        <f>G12*'01_Portfolio_Input'!U12</f>
        <v>38547.479520185072</v>
      </c>
      <c r="J12" s="2">
        <f>G12*'01_Portfolio_Input'!V12</f>
        <v>233274.84430644987</v>
      </c>
      <c r="K12" s="2">
        <f t="shared" si="1"/>
        <v>424999.45251265354</v>
      </c>
      <c r="L12" s="130">
        <f t="shared" si="2"/>
        <v>424.99945251265353</v>
      </c>
      <c r="M12" s="3">
        <f t="shared" si="3"/>
        <v>5.2469089384990647E-2</v>
      </c>
      <c r="N12" s="7">
        <f t="shared" si="4"/>
        <v>7</v>
      </c>
      <c r="O12" s="4" t="b">
        <f t="shared" si="5"/>
        <v>1</v>
      </c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</row>
    <row r="13" spans="1:62" ht="12" customHeight="1">
      <c r="B13" s="9" t="str">
        <f>'01_Portfolio_Input'!B13</f>
        <v>CIB008</v>
      </c>
      <c r="C13" s="9" t="str">
        <f>'01_Portfolio_Input'!C13</f>
        <v>TerraFood Ingredients</v>
      </c>
      <c r="D13" s="9" t="str">
        <f>'01_Portfolio_Input'!D13</f>
        <v>Agriculture &amp; Food</v>
      </c>
      <c r="E13" s="10">
        <f>'01_Portfolio_Input'!I13</f>
        <v>160</v>
      </c>
      <c r="F13" s="10">
        <f>'01_Portfolio_Input'!S13</f>
        <v>3199.9998873123186</v>
      </c>
      <c r="G13" s="3">
        <f t="shared" si="0"/>
        <v>5.0000001760745087E-2</v>
      </c>
      <c r="H13" s="2">
        <f>G13*'01_Portfolio_Input'!T13</f>
        <v>62287.574193450724</v>
      </c>
      <c r="I13" s="2">
        <f>G13*'01_Portfolio_Input'!U13</f>
        <v>16458.595579587807</v>
      </c>
      <c r="J13" s="2">
        <f>G13*'01_Portfolio_Input'!V13</f>
        <v>311253.84346077318</v>
      </c>
      <c r="K13" s="2">
        <f t="shared" si="1"/>
        <v>390000.01323381171</v>
      </c>
      <c r="L13" s="130">
        <f t="shared" si="2"/>
        <v>390.00001323381173</v>
      </c>
      <c r="M13" s="3">
        <f t="shared" si="3"/>
        <v>4.8148169211825416E-2</v>
      </c>
      <c r="N13" s="7">
        <f t="shared" si="4"/>
        <v>8</v>
      </c>
      <c r="O13" s="4" t="b">
        <f t="shared" si="5"/>
        <v>1</v>
      </c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</row>
    <row r="14" spans="1:62" ht="12" customHeight="1">
      <c r="B14" s="9" t="str">
        <f>'01_Portfolio_Input'!B14</f>
        <v>CIB009</v>
      </c>
      <c r="C14" s="9" t="str">
        <f>'01_Portfolio_Input'!C14</f>
        <v>VoltEdge Power Assets</v>
      </c>
      <c r="D14" s="9" t="str">
        <f>'01_Portfolio_Input'!D14</f>
        <v>Power &amp; Utilities</v>
      </c>
      <c r="E14" s="10">
        <f>'01_Portfolio_Input'!I14</f>
        <v>175</v>
      </c>
      <c r="F14" s="10">
        <f>'01_Portfolio_Input'!S14</f>
        <v>4374.9888351590316</v>
      </c>
      <c r="G14" s="3">
        <f t="shared" si="0"/>
        <v>4.0000102078806499E-2</v>
      </c>
      <c r="H14" s="2">
        <f>G14*'01_Portfolio_Input'!T14</f>
        <v>274476.83205489814</v>
      </c>
      <c r="I14" s="2">
        <f>G14*'01_Portfolio_Input'!U14</f>
        <v>19085.935506613638</v>
      </c>
      <c r="J14" s="2">
        <f>G14*'01_Portfolio_Input'!V14</f>
        <v>91438.214947000757</v>
      </c>
      <c r="K14" s="2">
        <f t="shared" si="1"/>
        <v>385000.98250851256</v>
      </c>
      <c r="L14" s="130">
        <f t="shared" si="2"/>
        <v>385.00098250851255</v>
      </c>
      <c r="M14" s="3">
        <f t="shared" si="3"/>
        <v>4.7531004675698797E-2</v>
      </c>
      <c r="N14" s="7">
        <f t="shared" si="4"/>
        <v>9</v>
      </c>
      <c r="O14" s="4" t="b">
        <f t="shared" si="5"/>
        <v>1</v>
      </c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</row>
    <row r="15" spans="1:62" ht="12" customHeight="1">
      <c r="B15" s="9" t="str">
        <f>'01_Portfolio_Input'!B15</f>
        <v>CIB010</v>
      </c>
      <c r="C15" s="9" t="str">
        <f>'01_Portfolio_Input'!C15</f>
        <v>UrbanCore Properties</v>
      </c>
      <c r="D15" s="9" t="str">
        <f>'01_Portfolio_Input'!D15</f>
        <v>Real Estate</v>
      </c>
      <c r="E15" s="10">
        <f>'01_Portfolio_Input'!I15</f>
        <v>250</v>
      </c>
      <c r="F15" s="10">
        <f>'01_Portfolio_Input'!S15</f>
        <v>7142.8615891150002</v>
      </c>
      <c r="G15" s="3">
        <f t="shared" si="0"/>
        <v>3.4999978213350061E-2</v>
      </c>
      <c r="H15" s="2">
        <f>G15*'01_Portfolio_Input'!T15</f>
        <v>99058.507038446856</v>
      </c>
      <c r="I15" s="2">
        <f>G15*'01_Portfolio_Input'!U15</f>
        <v>93678.180887571303</v>
      </c>
      <c r="J15" s="2">
        <f>G15*'01_Portfolio_Input'!V15</f>
        <v>97263.131706025102</v>
      </c>
      <c r="K15" s="2">
        <f t="shared" si="1"/>
        <v>289999.81963204325</v>
      </c>
      <c r="L15" s="130">
        <f t="shared" si="2"/>
        <v>289.99981963204323</v>
      </c>
      <c r="M15" s="3">
        <f t="shared" si="3"/>
        <v>3.5802461315998554E-2</v>
      </c>
      <c r="N15" s="7">
        <f t="shared" si="4"/>
        <v>10</v>
      </c>
      <c r="O15" s="4" t="b">
        <f t="shared" si="5"/>
        <v>1</v>
      </c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</row>
    <row r="16" spans="1:62" ht="12" customHeight="1">
      <c r="B16" s="9" t="str">
        <f>'01_Portfolio_Input'!B16</f>
        <v>CIB011</v>
      </c>
      <c r="C16" s="9" t="str">
        <f>'01_Portfolio_Input'!C16</f>
        <v>Borealis Energy Finance</v>
      </c>
      <c r="D16" s="9" t="str">
        <f>'01_Portfolio_Input'!D16</f>
        <v>Oil &amp; Gas</v>
      </c>
      <c r="E16" s="10">
        <f>'01_Portfolio_Input'!I16</f>
        <v>90</v>
      </c>
      <c r="F16" s="10">
        <f>'01_Portfolio_Input'!S16</f>
        <v>1999.9863271228439</v>
      </c>
      <c r="G16" s="3">
        <f t="shared" si="0"/>
        <v>4.5000307641839189E-2</v>
      </c>
      <c r="H16" s="2">
        <f>G16*'01_Portfolio_Input'!T16</f>
        <v>21356.095249633443</v>
      </c>
      <c r="I16" s="2">
        <f>G16*'01_Portfolio_Input'!U16</f>
        <v>6156.0447854220592</v>
      </c>
      <c r="J16" s="2">
        <f>G16*'01_Portfolio_Input'!V16</f>
        <v>222489.56883627162</v>
      </c>
      <c r="K16" s="2">
        <f t="shared" si="1"/>
        <v>250001.70887132711</v>
      </c>
      <c r="L16" s="130">
        <f t="shared" si="2"/>
        <v>250.00170887132711</v>
      </c>
      <c r="M16" s="3">
        <f t="shared" si="3"/>
        <v>3.0864420957764711E-2</v>
      </c>
      <c r="N16" s="7">
        <f t="shared" si="4"/>
        <v>12</v>
      </c>
      <c r="O16" s="4" t="b">
        <f t="shared" si="5"/>
        <v>0</v>
      </c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</row>
    <row r="17" spans="2:27" ht="12" customHeight="1">
      <c r="B17" s="9" t="str">
        <f>'01_Portfolio_Input'!B17</f>
        <v>CIB012</v>
      </c>
      <c r="C17" s="9" t="str">
        <f>'01_Portfolio_Input'!C17</f>
        <v>Aquila Midstream Ventures</v>
      </c>
      <c r="D17" s="9" t="str">
        <f>'01_Portfolio_Input'!D17</f>
        <v>Oil &amp; Gas</v>
      </c>
      <c r="E17" s="10">
        <f>'01_Portfolio_Input'!I17</f>
        <v>80</v>
      </c>
      <c r="F17" s="10">
        <f>'01_Portfolio_Input'!S17</f>
        <v>1777.7907897376581</v>
      </c>
      <c r="G17" s="3">
        <f t="shared" si="0"/>
        <v>4.4999670637176213E-2</v>
      </c>
      <c r="H17" s="2">
        <f>G17*'01_Portfolio_Input'!T17</f>
        <v>18793.097699043778</v>
      </c>
      <c r="I17" s="2">
        <f>G17*'01_Portfolio_Input'!U17</f>
        <v>5417.2425999693533</v>
      </c>
      <c r="J17" s="2">
        <f>G17*'01_Portfolio_Input'!V17</f>
        <v>195788.04908274018</v>
      </c>
      <c r="K17" s="2">
        <f t="shared" si="1"/>
        <v>219998.38938175331</v>
      </c>
      <c r="L17" s="130">
        <f t="shared" si="2"/>
        <v>219.9983893817533</v>
      </c>
      <c r="M17" s="3">
        <f t="shared" si="3"/>
        <v>2.7160305945762405E-2</v>
      </c>
      <c r="N17" s="7">
        <f t="shared" si="4"/>
        <v>14</v>
      </c>
      <c r="O17" s="4" t="b">
        <f t="shared" si="5"/>
        <v>0</v>
      </c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</row>
    <row r="18" spans="2:27" ht="12" customHeight="1">
      <c r="B18" s="9" t="str">
        <f>'01_Portfolio_Input'!B18</f>
        <v>CIB013</v>
      </c>
      <c r="C18" s="9" t="str">
        <f>'01_Portfolio_Input'!C18</f>
        <v>NorthSea Energy Services</v>
      </c>
      <c r="D18" s="9" t="str">
        <f>'01_Portfolio_Input'!D18</f>
        <v>Oil &amp; Gas</v>
      </c>
      <c r="E18" s="10">
        <f>'01_Portfolio_Input'!I18</f>
        <v>75</v>
      </c>
      <c r="F18" s="10">
        <f>'01_Portfolio_Input'!S18</f>
        <v>1666.6715514614116</v>
      </c>
      <c r="G18" s="3">
        <f t="shared" si="0"/>
        <v>4.4999868110928438E-2</v>
      </c>
      <c r="H18" s="2">
        <f>G18*'01_Portfolio_Input'!T18</f>
        <v>17938.94497316152</v>
      </c>
      <c r="I18" s="2">
        <f>G18*'01_Portfolio_Input'!U18</f>
        <v>5171.0270943564146</v>
      </c>
      <c r="J18" s="2">
        <f>G18*'01_Portfolio_Input'!V18</f>
        <v>186889.41260014768</v>
      </c>
      <c r="K18" s="2">
        <f t="shared" si="1"/>
        <v>209999.38466766561</v>
      </c>
      <c r="L18" s="130">
        <f t="shared" si="2"/>
        <v>209.99938466766562</v>
      </c>
      <c r="M18" s="3">
        <f t="shared" si="3"/>
        <v>2.5925860421179552E-2</v>
      </c>
      <c r="N18" s="7">
        <f t="shared" si="4"/>
        <v>15</v>
      </c>
      <c r="O18" s="4" t="b">
        <f t="shared" si="5"/>
        <v>0</v>
      </c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</row>
    <row r="19" spans="2:27" ht="12" customHeight="1">
      <c r="B19" s="9" t="str">
        <f>'01_Portfolio_Input'!B19</f>
        <v>CIB014</v>
      </c>
      <c r="C19" s="9" t="str">
        <f>'01_Portfolio_Input'!C19</f>
        <v>Sable Hydrocarbon Logistics</v>
      </c>
      <c r="D19" s="9" t="str">
        <f>'01_Portfolio_Input'!D19</f>
        <v>Oil &amp; Gas</v>
      </c>
      <c r="E19" s="10">
        <f>'01_Portfolio_Input'!I19</f>
        <v>70</v>
      </c>
      <c r="F19" s="10">
        <f>'01_Portfolio_Input'!S19</f>
        <v>1555.5595654399999</v>
      </c>
      <c r="G19" s="3">
        <f t="shared" si="0"/>
        <v>4.4999884000070454E-2</v>
      </c>
      <c r="H19" s="2">
        <f>G19*'01_Portfolio_Input'!T19</f>
        <v>15376.243913382033</v>
      </c>
      <c r="I19" s="2">
        <f>G19*'01_Portfolio_Input'!U19</f>
        <v>4432.3103744662994</v>
      </c>
      <c r="J19" s="2">
        <f>G19*'01_Portfolio_Input'!V19</f>
        <v>160190.98171243348</v>
      </c>
      <c r="K19" s="2">
        <f t="shared" si="1"/>
        <v>179999.53600028181</v>
      </c>
      <c r="L19" s="130">
        <f t="shared" si="2"/>
        <v>179.99953600028181</v>
      </c>
      <c r="M19" s="3">
        <f t="shared" si="3"/>
        <v>2.2222173905916829E-2</v>
      </c>
      <c r="N19" s="7">
        <f t="shared" si="4"/>
        <v>17</v>
      </c>
      <c r="O19" s="4" t="b">
        <f t="shared" si="5"/>
        <v>0</v>
      </c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</row>
    <row r="20" spans="2:27" ht="12" customHeight="1">
      <c r="B20" s="9" t="str">
        <f>'01_Portfolio_Input'!B20</f>
        <v>CIB015</v>
      </c>
      <c r="C20" s="9" t="str">
        <f>'01_Portfolio_Input'!C20</f>
        <v>Eclipse Energy Partners</v>
      </c>
      <c r="D20" s="9" t="str">
        <f>'01_Portfolio_Input'!D20</f>
        <v>Oil &amp; Gas</v>
      </c>
      <c r="E20" s="10">
        <f>'01_Portfolio_Input'!I20</f>
        <v>75</v>
      </c>
      <c r="F20" s="10">
        <f>'01_Portfolio_Input'!S20</f>
        <v>1666.6700742400003</v>
      </c>
      <c r="G20" s="3">
        <f t="shared" si="0"/>
        <v>4.4999907995708098E-2</v>
      </c>
      <c r="H20" s="2">
        <f>G20*'01_Portfolio_Input'!T20</f>
        <v>15376.252112575998</v>
      </c>
      <c r="I20" s="2">
        <f>G20*'01_Portfolio_Input'!U20</f>
        <v>4432.3127379415846</v>
      </c>
      <c r="J20" s="2">
        <f>G20*'01_Portfolio_Input'!V20</f>
        <v>160191.06713231481</v>
      </c>
      <c r="K20" s="2">
        <f t="shared" si="1"/>
        <v>179999.63198283239</v>
      </c>
      <c r="L20" s="130">
        <f t="shared" si="2"/>
        <v>179.9996319828324</v>
      </c>
      <c r="M20" s="3">
        <f t="shared" si="3"/>
        <v>2.2222185755619215E-2</v>
      </c>
      <c r="N20" s="7">
        <f t="shared" si="4"/>
        <v>16</v>
      </c>
      <c r="O20" s="4" t="b">
        <f t="shared" si="5"/>
        <v>0</v>
      </c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</row>
    <row r="21" spans="2:27" ht="12" customHeight="1">
      <c r="B21" s="9" t="str">
        <f>'01_Portfolio_Input'!B21</f>
        <v>CIB016</v>
      </c>
      <c r="C21" s="9" t="str">
        <f>'01_Portfolio_Input'!C21</f>
        <v>Aurora Renewables Platform</v>
      </c>
      <c r="D21" s="9" t="str">
        <f>'01_Portfolio_Input'!D21</f>
        <v>Power &amp; Utilities</v>
      </c>
      <c r="E21" s="10">
        <f>'01_Portfolio_Input'!I21</f>
        <v>33.880000000000003</v>
      </c>
      <c r="F21" s="10">
        <f>'01_Portfolio_Input'!S21</f>
        <v>846.98658964843753</v>
      </c>
      <c r="G21" s="3">
        <f t="shared" si="0"/>
        <v>4.0000633320608679E-2</v>
      </c>
      <c r="H21" s="2">
        <f>G21*'01_Portfolio_Input'!T21</f>
        <v>178234.07633816308</v>
      </c>
      <c r="I21" s="2">
        <f>G21*'01_Portfolio_Input'!U21</f>
        <v>12393.629425416448</v>
      </c>
      <c r="J21" s="2">
        <f>G21*'01_Portfolio_Input'!V21</f>
        <v>59376.252890231081</v>
      </c>
      <c r="K21" s="2">
        <f t="shared" si="1"/>
        <v>250003.95865381061</v>
      </c>
      <c r="L21" s="130">
        <f t="shared" si="2"/>
        <v>250.0039586538106</v>
      </c>
      <c r="M21" s="3">
        <f t="shared" si="3"/>
        <v>3.0864698708800681E-2</v>
      </c>
      <c r="N21" s="7">
        <f t="shared" si="4"/>
        <v>11</v>
      </c>
      <c r="O21" s="4" t="b">
        <f t="shared" si="5"/>
        <v>0</v>
      </c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</row>
    <row r="22" spans="2:27" ht="12" customHeight="1">
      <c r="B22" s="9" t="str">
        <f>'01_Portfolio_Input'!B22</f>
        <v>CIB017</v>
      </c>
      <c r="C22" s="9" t="str">
        <f>'01_Portfolio_Input'!C22</f>
        <v>Riverton Grid Networks</v>
      </c>
      <c r="D22" s="9" t="str">
        <f>'01_Portfolio_Input'!D22</f>
        <v>Power &amp; Utilities</v>
      </c>
      <c r="E22" s="10">
        <f>'01_Portfolio_Input'!I22</f>
        <v>60.64</v>
      </c>
      <c r="F22" s="10">
        <f>'01_Portfolio_Input'!S22</f>
        <v>1515.9973491015623</v>
      </c>
      <c r="G22" s="3">
        <f t="shared" si="0"/>
        <v>4.0000069944672111E-2</v>
      </c>
      <c r="H22" s="2">
        <f>G22*'01_Portfolio_Input'!T22</f>
        <v>35646.313131633106</v>
      </c>
      <c r="I22" s="2">
        <f>G22*'01_Portfolio_Input'!U22</f>
        <v>2478.691134273387</v>
      </c>
      <c r="J22" s="2">
        <f>G22*'01_Portfolio_Input'!V22</f>
        <v>11875.083164933647</v>
      </c>
      <c r="K22" s="2">
        <f t="shared" si="1"/>
        <v>50000.08743084014</v>
      </c>
      <c r="L22" s="130">
        <f t="shared" si="2"/>
        <v>50.000087430840139</v>
      </c>
      <c r="M22" s="3">
        <f t="shared" si="3"/>
        <v>6.1728527911173959E-3</v>
      </c>
      <c r="N22" s="7">
        <f t="shared" si="4"/>
        <v>35</v>
      </c>
      <c r="O22" s="4" t="b">
        <f t="shared" si="5"/>
        <v>0</v>
      </c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</row>
    <row r="23" spans="2:27" ht="12" customHeight="1">
      <c r="B23" s="9" t="str">
        <f>'01_Portfolio_Input'!B23</f>
        <v>CIB018</v>
      </c>
      <c r="C23" s="9" t="str">
        <f>'01_Portfolio_Input'!C23</f>
        <v>Solstice Thermal Assets</v>
      </c>
      <c r="D23" s="9" t="str">
        <f>'01_Portfolio_Input'!D23</f>
        <v>Power &amp; Utilities</v>
      </c>
      <c r="E23" s="10">
        <f>'01_Portfolio_Input'!I23</f>
        <v>55</v>
      </c>
      <c r="F23" s="10">
        <f>'01_Portfolio_Input'!S23</f>
        <v>1374.9868105468749</v>
      </c>
      <c r="G23" s="3">
        <f t="shared" si="0"/>
        <v>4.0000383696862367E-2</v>
      </c>
      <c r="H23" s="2">
        <f>G23*'01_Portfolio_Input'!T23</f>
        <v>35646.59273386468</v>
      </c>
      <c r="I23" s="2">
        <f>G23*'01_Portfolio_Input'!U23</f>
        <v>2478.7105766086988</v>
      </c>
      <c r="J23" s="2">
        <f>G23*'01_Portfolio_Input'!V23</f>
        <v>11875.176310604582</v>
      </c>
      <c r="K23" s="2">
        <f t="shared" si="1"/>
        <v>50000.47962107796</v>
      </c>
      <c r="L23" s="130">
        <f t="shared" si="2"/>
        <v>50.000479621077957</v>
      </c>
      <c r="M23" s="3">
        <f t="shared" si="3"/>
        <v>6.1729012096848135E-3</v>
      </c>
      <c r="N23" s="7">
        <f t="shared" si="4"/>
        <v>33</v>
      </c>
      <c r="O23" s="4" t="b">
        <f t="shared" si="5"/>
        <v>0</v>
      </c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</row>
    <row r="24" spans="2:27" ht="12" customHeight="1">
      <c r="B24" s="9" t="str">
        <f>'01_Portfolio_Input'!B24</f>
        <v>CIB019</v>
      </c>
      <c r="C24" s="9" t="str">
        <f>'01_Portfolio_Input'!C24</f>
        <v>Vector Utility Services</v>
      </c>
      <c r="D24" s="9" t="str">
        <f>'01_Portfolio_Input'!D24</f>
        <v>Power &amp; Utilities</v>
      </c>
      <c r="E24" s="10">
        <f>'01_Portfolio_Input'!I24</f>
        <v>52</v>
      </c>
      <c r="F24" s="10">
        <f>'01_Portfolio_Input'!S24</f>
        <v>1299.9946749218748</v>
      </c>
      <c r="G24" s="3">
        <f t="shared" si="0"/>
        <v>4.0000163849228859E-2</v>
      </c>
      <c r="H24" s="2">
        <f>G24*'01_Portfolio_Input'!T24</f>
        <v>35646.396815267632</v>
      </c>
      <c r="I24" s="2">
        <f>G24*'01_Portfolio_Input'!U24</f>
        <v>2478.6969532730191</v>
      </c>
      <c r="J24" s="2">
        <f>G24*'01_Portfolio_Input'!V24</f>
        <v>11875.111042995422</v>
      </c>
      <c r="K24" s="2">
        <f t="shared" si="1"/>
        <v>50000.204811536074</v>
      </c>
      <c r="L24" s="130">
        <f t="shared" si="2"/>
        <v>50.000204811536072</v>
      </c>
      <c r="M24" s="3">
        <f t="shared" si="3"/>
        <v>6.1728672825671861E-3</v>
      </c>
      <c r="N24" s="7">
        <f t="shared" si="4"/>
        <v>34</v>
      </c>
      <c r="O24" s="4" t="b">
        <f t="shared" si="5"/>
        <v>0</v>
      </c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</row>
    <row r="25" spans="2:27" ht="12" customHeight="1">
      <c r="B25" s="9" t="str">
        <f>'01_Portfolio_Input'!B25</f>
        <v>CIB020</v>
      </c>
      <c r="C25" s="9" t="str">
        <f>'01_Portfolio_Input'!C25</f>
        <v>Canopy Power Distribution</v>
      </c>
      <c r="D25" s="9" t="str">
        <f>'01_Portfolio_Input'!D25</f>
        <v>Power &amp; Utilities</v>
      </c>
      <c r="E25" s="10">
        <f>'01_Portfolio_Input'!I25</f>
        <v>50.76</v>
      </c>
      <c r="F25" s="10">
        <f>'01_Portfolio_Input'!S25</f>
        <v>1268.9868715625</v>
      </c>
      <c r="G25" s="3">
        <f t="shared" si="0"/>
        <v>4.0000413824218171E-2</v>
      </c>
      <c r="H25" s="2">
        <f>G25*'01_Portfolio_Input'!T25</f>
        <v>35646.619582046704</v>
      </c>
      <c r="I25" s="2">
        <f>G25*'01_Portfolio_Input'!U25</f>
        <v>2478.7124435156775</v>
      </c>
      <c r="J25" s="2">
        <f>G25*'01_Portfolio_Input'!V25</f>
        <v>11875.185254710335</v>
      </c>
      <c r="K25" s="2">
        <f t="shared" si="1"/>
        <v>50000.517280272717</v>
      </c>
      <c r="L25" s="130">
        <f t="shared" si="2"/>
        <v>50.000517280272717</v>
      </c>
      <c r="M25" s="3">
        <f t="shared" si="3"/>
        <v>6.1729058589699935E-3</v>
      </c>
      <c r="N25" s="7">
        <f t="shared" si="4"/>
        <v>32</v>
      </c>
      <c r="O25" s="4" t="b">
        <f t="shared" si="5"/>
        <v>0</v>
      </c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</row>
    <row r="26" spans="2:27" ht="12" customHeight="1">
      <c r="B26" s="9" t="str">
        <f>'01_Portfolio_Input'!B26</f>
        <v>CIB021</v>
      </c>
      <c r="C26" s="9" t="str">
        <f>'01_Portfolio_Input'!C26</f>
        <v>HarborLight Energy Systems</v>
      </c>
      <c r="D26" s="9" t="str">
        <f>'01_Portfolio_Input'!D26</f>
        <v>Power &amp; Utilities</v>
      </c>
      <c r="E26" s="10">
        <f>'01_Portfolio_Input'!I26</f>
        <v>82.72</v>
      </c>
      <c r="F26" s="10">
        <f>'01_Portfolio_Input'!S26</f>
        <v>2068</v>
      </c>
      <c r="G26" s="3">
        <f t="shared" si="0"/>
        <v>0.04</v>
      </c>
      <c r="H26" s="2">
        <f>G26*'01_Portfolio_Input'!T26</f>
        <v>3564.6252000000004</v>
      </c>
      <c r="I26" s="2">
        <f>G26*'01_Portfolio_Input'!U26</f>
        <v>247.86880000000002</v>
      </c>
      <c r="J26" s="2">
        <f>G26*'01_Portfolio_Input'!V26</f>
        <v>1187.5064</v>
      </c>
      <c r="K26" s="2">
        <f t="shared" si="1"/>
        <v>5000.0004000000008</v>
      </c>
      <c r="L26" s="130">
        <f t="shared" si="2"/>
        <v>5.0000004000000011</v>
      </c>
      <c r="M26" s="3">
        <f t="shared" si="3"/>
        <v>6.1728424910095206E-4</v>
      </c>
      <c r="N26" s="7">
        <f t="shared" si="4"/>
        <v>55</v>
      </c>
      <c r="O26" s="4" t="b">
        <f t="shared" si="5"/>
        <v>0</v>
      </c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</row>
    <row r="27" spans="2:27" ht="12" customHeight="1">
      <c r="B27" s="9" t="str">
        <f>'01_Portfolio_Input'!B27</f>
        <v>CIB022</v>
      </c>
      <c r="C27" s="9" t="str">
        <f>'01_Portfolio_Input'!C27</f>
        <v>ForgeLine Steelworks</v>
      </c>
      <c r="D27" s="9" t="str">
        <f>'01_Portfolio_Input'!D27</f>
        <v>Steel</v>
      </c>
      <c r="E27" s="10">
        <f>'01_Portfolio_Input'!I27</f>
        <v>60</v>
      </c>
      <c r="F27" s="10">
        <f>'01_Portfolio_Input'!S27</f>
        <v>1090.8958986519699</v>
      </c>
      <c r="G27" s="3">
        <f t="shared" si="0"/>
        <v>5.5000665117673056E-2</v>
      </c>
      <c r="H27" s="2">
        <f>G27*'01_Portfolio_Input'!T27</f>
        <v>49521.663310639167</v>
      </c>
      <c r="I27" s="2">
        <f>G27*'01_Portfolio_Input'!U27</f>
        <v>13481.914285473093</v>
      </c>
      <c r="J27" s="2">
        <f>G27*'01_Portfolio_Input'!V27</f>
        <v>16997.390147779446</v>
      </c>
      <c r="K27" s="2">
        <f t="shared" si="1"/>
        <v>80000.967743891699</v>
      </c>
      <c r="L27" s="130">
        <f t="shared" si="2"/>
        <v>80.000967743891692</v>
      </c>
      <c r="M27" s="3">
        <f t="shared" si="3"/>
        <v>9.8766666700941981E-3</v>
      </c>
      <c r="N27" s="7">
        <f t="shared" si="4"/>
        <v>25</v>
      </c>
      <c r="O27" s="4" t="b">
        <f t="shared" si="5"/>
        <v>0</v>
      </c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</row>
    <row r="28" spans="2:27" ht="12" customHeight="1">
      <c r="B28" s="9" t="str">
        <f>'01_Portfolio_Input'!B28</f>
        <v>CIB023</v>
      </c>
      <c r="C28" s="9" t="str">
        <f>'01_Portfolio_Input'!C28</f>
        <v>Atlas Coil Manufacturing</v>
      </c>
      <c r="D28" s="9" t="str">
        <f>'01_Portfolio_Input'!D28</f>
        <v>Steel</v>
      </c>
      <c r="E28" s="10">
        <f>'01_Portfolio_Input'!I28</f>
        <v>55</v>
      </c>
      <c r="F28" s="10">
        <f>'01_Portfolio_Input'!S28</f>
        <v>1000.0082720693499</v>
      </c>
      <c r="G28" s="3">
        <f t="shared" si="0"/>
        <v>5.4999545039949214E-2</v>
      </c>
      <c r="H28" s="2">
        <f>G28*'01_Portfolio_Input'!T28</f>
        <v>46425.613714103747</v>
      </c>
      <c r="I28" s="2">
        <f>G28*'01_Portfolio_Input'!U28</f>
        <v>12639.037349006532</v>
      </c>
      <c r="J28" s="2">
        <f>G28*'01_Portfolio_Input'!V28</f>
        <v>15934.728886817575</v>
      </c>
      <c r="K28" s="2">
        <f t="shared" si="1"/>
        <v>74999.379949927854</v>
      </c>
      <c r="L28" s="130">
        <f t="shared" si="2"/>
        <v>74.999379949927857</v>
      </c>
      <c r="M28" s="3">
        <f t="shared" si="3"/>
        <v>9.2591864463507246E-3</v>
      </c>
      <c r="N28" s="7">
        <f t="shared" si="4"/>
        <v>29</v>
      </c>
      <c r="O28" s="4" t="b">
        <f t="shared" si="5"/>
        <v>0</v>
      </c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</row>
    <row r="29" spans="2:27" ht="12" customHeight="1">
      <c r="B29" s="9" t="str">
        <f>'01_Portfolio_Input'!B29</f>
        <v>CIB024</v>
      </c>
      <c r="C29" s="9" t="str">
        <f>'01_Portfolio_Input'!C29</f>
        <v>Mercury Metals Processing</v>
      </c>
      <c r="D29" s="9" t="str">
        <f>'01_Portfolio_Input'!D29</f>
        <v>Steel</v>
      </c>
      <c r="E29" s="10">
        <f>'01_Portfolio_Input'!I29</f>
        <v>55</v>
      </c>
      <c r="F29" s="10">
        <f>'01_Portfolio_Input'!S29</f>
        <v>1000.0039523747869</v>
      </c>
      <c r="G29" s="3">
        <f t="shared" si="0"/>
        <v>5.4999782620245886E-2</v>
      </c>
      <c r="H29" s="2">
        <f>G29*'01_Portfolio_Input'!T29</f>
        <v>43330.759790597505</v>
      </c>
      <c r="I29" s="2">
        <f>G29*'01_Portfolio_Input'!U29</f>
        <v>11796.485375868626</v>
      </c>
      <c r="J29" s="2">
        <f>G29*'01_Portfolio_Input'!V29</f>
        <v>14872.478018392861</v>
      </c>
      <c r="K29" s="2">
        <f t="shared" si="1"/>
        <v>69999.723184859002</v>
      </c>
      <c r="L29" s="130">
        <f t="shared" si="2"/>
        <v>69.999723184859008</v>
      </c>
      <c r="M29" s="3">
        <f t="shared" si="3"/>
        <v>8.6419446213324667E-3</v>
      </c>
      <c r="N29" s="7">
        <f t="shared" si="4"/>
        <v>31</v>
      </c>
      <c r="O29" s="4" t="b">
        <f t="shared" si="5"/>
        <v>0</v>
      </c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</row>
    <row r="30" spans="2:27" ht="12" customHeight="1">
      <c r="B30" s="9" t="str">
        <f>'01_Portfolio_Input'!B30</f>
        <v>CIB025</v>
      </c>
      <c r="C30" s="9" t="str">
        <f>'01_Portfolio_Input'!C30</f>
        <v>Granite Steel Components</v>
      </c>
      <c r="D30" s="9" t="str">
        <f>'01_Portfolio_Input'!D30</f>
        <v>Steel</v>
      </c>
      <c r="E30" s="10">
        <f>'01_Portfolio_Input'!I30</f>
        <v>60</v>
      </c>
      <c r="F30" s="10">
        <f>'01_Portfolio_Input'!S30</f>
        <v>1090.9194619232751</v>
      </c>
      <c r="G30" s="3">
        <f t="shared" si="0"/>
        <v>5.4999477133005653E-2</v>
      </c>
      <c r="H30" s="2">
        <f>G30*'01_Portfolio_Input'!T30</f>
        <v>46425.556393238126</v>
      </c>
      <c r="I30" s="2">
        <f>G30*'01_Portfolio_Input'!U30</f>
        <v>12639.021743815701</v>
      </c>
      <c r="J30" s="2">
        <f>G30*'01_Portfolio_Input'!V30</f>
        <v>15934.709212496007</v>
      </c>
      <c r="K30" s="2">
        <f t="shared" si="1"/>
        <v>74999.287349549835</v>
      </c>
      <c r="L30" s="130">
        <f t="shared" si="2"/>
        <v>74.999287349549832</v>
      </c>
      <c r="M30" s="3">
        <f t="shared" si="3"/>
        <v>9.2591750142006768E-3</v>
      </c>
      <c r="N30" s="7">
        <f t="shared" si="4"/>
        <v>30</v>
      </c>
      <c r="O30" s="4" t="b">
        <f t="shared" si="5"/>
        <v>0</v>
      </c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</row>
    <row r="31" spans="2:27" ht="12" customHeight="1">
      <c r="B31" s="9" t="str">
        <f>'01_Portfolio_Input'!B31</f>
        <v>CIB026</v>
      </c>
      <c r="C31" s="9" t="str">
        <f>'01_Portfolio_Input'!C31</f>
        <v>Lumen Cement Solutions</v>
      </c>
      <c r="D31" s="9" t="str">
        <f>'01_Portfolio_Input'!D31</f>
        <v>Cement</v>
      </c>
      <c r="E31" s="10">
        <f>'01_Portfolio_Input'!I31</f>
        <v>20</v>
      </c>
      <c r="F31" s="10">
        <f>'01_Portfolio_Input'!S31</f>
        <v>400.01897735</v>
      </c>
      <c r="G31" s="3">
        <f t="shared" si="0"/>
        <v>4.9997627943788349E-2</v>
      </c>
      <c r="H31" s="2">
        <f>G31*'01_Portfolio_Input'!T31</f>
        <v>5530.6156089296846</v>
      </c>
      <c r="I31" s="2">
        <f>G31*'01_Portfolio_Input'!U31</f>
        <v>570.29694318826296</v>
      </c>
      <c r="J31" s="2">
        <f>G31*'01_Portfolio_Input'!V31</f>
        <v>898.7558599887011</v>
      </c>
      <c r="K31" s="2">
        <f t="shared" si="1"/>
        <v>6999.6684121066482</v>
      </c>
      <c r="L31" s="130">
        <f t="shared" si="2"/>
        <v>6.9996684121066481</v>
      </c>
      <c r="M31" s="3">
        <f t="shared" si="3"/>
        <v>8.6415694281202543E-4</v>
      </c>
      <c r="N31" s="7">
        <f t="shared" si="4"/>
        <v>54</v>
      </c>
      <c r="O31" s="4" t="b">
        <f t="shared" si="5"/>
        <v>0</v>
      </c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</row>
    <row r="32" spans="2:27" ht="12" customHeight="1">
      <c r="B32" s="9" t="str">
        <f>'01_Portfolio_Input'!B32</f>
        <v>CIB027</v>
      </c>
      <c r="C32" s="9" t="str">
        <f>'01_Portfolio_Input'!C32</f>
        <v>Crestline Building Materials</v>
      </c>
      <c r="D32" s="9" t="str">
        <f>'01_Portfolio_Input'!D32</f>
        <v>Cement</v>
      </c>
      <c r="E32" s="10">
        <f>'01_Portfolio_Input'!I32</f>
        <v>20</v>
      </c>
      <c r="F32" s="10">
        <f>'01_Portfolio_Input'!S32</f>
        <v>400.01900718749999</v>
      </c>
      <c r="G32" s="3">
        <f t="shared" si="0"/>
        <v>4.9997624214455007E-2</v>
      </c>
      <c r="H32" s="2">
        <f>G32*'01_Portfolio_Input'!T32</f>
        <v>10271.14193619845</v>
      </c>
      <c r="I32" s="2">
        <f>G32*'01_Portfolio_Input'!U32</f>
        <v>1059.1226726419391</v>
      </c>
      <c r="J32" s="2">
        <f>G32*'01_Portfolio_Input'!V32</f>
        <v>1669.1176869179133</v>
      </c>
      <c r="K32" s="2">
        <f t="shared" si="1"/>
        <v>12999.382295758302</v>
      </c>
      <c r="L32" s="130">
        <f t="shared" si="2"/>
        <v>12.999382295758302</v>
      </c>
      <c r="M32" s="3">
        <f t="shared" si="3"/>
        <v>1.6048626594536615E-3</v>
      </c>
      <c r="N32" s="7">
        <f t="shared" si="4"/>
        <v>47</v>
      </c>
      <c r="O32" s="4" t="b">
        <f t="shared" si="5"/>
        <v>0</v>
      </c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</row>
    <row r="33" spans="2:27" ht="12" customHeight="1">
      <c r="B33" s="9" t="str">
        <f>'01_Portfolio_Input'!B33</f>
        <v>CIB028</v>
      </c>
      <c r="C33" s="9" t="str">
        <f>'01_Portfolio_Input'!C33</f>
        <v>Pinnacle Clinker Group</v>
      </c>
      <c r="D33" s="9" t="str">
        <f>'01_Portfolio_Input'!D33</f>
        <v>Cement</v>
      </c>
      <c r="E33" s="10">
        <f>'01_Portfolio_Input'!I33</f>
        <v>150</v>
      </c>
      <c r="F33" s="10">
        <f>'01_Portfolio_Input'!S33</f>
        <v>3000</v>
      </c>
      <c r="G33" s="3">
        <f t="shared" si="0"/>
        <v>0.05</v>
      </c>
      <c r="H33" s="2">
        <f>G33*'01_Portfolio_Input'!T33</f>
        <v>173827.58850000001</v>
      </c>
      <c r="I33" s="2">
        <f>G33*'01_Portfolio_Input'!U33</f>
        <v>17924.464499999998</v>
      </c>
      <c r="J33" s="2">
        <f>G33*'01_Portfolio_Input'!V33</f>
        <v>28247.947</v>
      </c>
      <c r="K33" s="2">
        <f t="shared" si="1"/>
        <v>220000</v>
      </c>
      <c r="L33" s="130">
        <f t="shared" si="2"/>
        <v>220</v>
      </c>
      <c r="M33" s="3">
        <f t="shared" si="3"/>
        <v>2.71605047876015E-2</v>
      </c>
      <c r="N33" s="7">
        <f t="shared" si="4"/>
        <v>13</v>
      </c>
      <c r="O33" s="4" t="b">
        <f t="shared" si="5"/>
        <v>0</v>
      </c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</row>
    <row r="34" spans="2:27" ht="12" customHeight="1">
      <c r="B34" s="9" t="str">
        <f>'01_Portfolio_Input'!B34</f>
        <v>CIB029</v>
      </c>
      <c r="C34" s="9" t="str">
        <f>'01_Portfolio_Input'!C34</f>
        <v>VeraChem Specialties</v>
      </c>
      <c r="D34" s="9" t="str">
        <f>'01_Portfolio_Input'!D34</f>
        <v>Chemicals</v>
      </c>
      <c r="E34" s="10">
        <f>'01_Portfolio_Input'!I34</f>
        <v>75</v>
      </c>
      <c r="F34" s="10">
        <f>'01_Portfolio_Input'!S34</f>
        <v>1666.6869492701931</v>
      </c>
      <c r="G34" s="3">
        <f t="shared" si="0"/>
        <v>4.4999452376369126E-2</v>
      </c>
      <c r="H34" s="2">
        <f>G34*'01_Portfolio_Input'!T34</f>
        <v>34239.221123671734</v>
      </c>
      <c r="I34" s="2">
        <f>G34*'01_Portfolio_Input'!U34</f>
        <v>8616.401542166217</v>
      </c>
      <c r="J34" s="2">
        <f>G34*'01_Portfolio_Input'!V34</f>
        <v>52143.221189830816</v>
      </c>
      <c r="K34" s="2">
        <f t="shared" si="1"/>
        <v>94998.843855668762</v>
      </c>
      <c r="L34" s="130">
        <f t="shared" si="2"/>
        <v>94.998843855668767</v>
      </c>
      <c r="M34" s="3">
        <f t="shared" si="3"/>
        <v>1.1728257060720448E-2</v>
      </c>
      <c r="N34" s="7">
        <f t="shared" si="4"/>
        <v>22</v>
      </c>
      <c r="O34" s="4" t="b">
        <f t="shared" si="5"/>
        <v>0</v>
      </c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</row>
    <row r="35" spans="2:27" ht="12" customHeight="1">
      <c r="B35" s="9" t="str">
        <f>'01_Portfolio_Input'!B35</f>
        <v>CIB030</v>
      </c>
      <c r="C35" s="9" t="str">
        <f>'01_Portfolio_Input'!C35</f>
        <v>Apex Polymer Materials</v>
      </c>
      <c r="D35" s="9" t="str">
        <f>'01_Portfolio_Input'!D35</f>
        <v>Chemicals</v>
      </c>
      <c r="E35" s="10">
        <f>'01_Portfolio_Input'!I35</f>
        <v>70</v>
      </c>
      <c r="F35" s="10">
        <f>'01_Portfolio_Input'!S35</f>
        <v>1555.5738120216042</v>
      </c>
      <c r="G35" s="3">
        <f t="shared" si="0"/>
        <v>4.4999471872716135E-2</v>
      </c>
      <c r="H35" s="2">
        <f>G35*'01_Portfolio_Input'!T35</f>
        <v>32437.170907643962</v>
      </c>
      <c r="I35" s="2">
        <f>G35*'01_Portfolio_Input'!U35</f>
        <v>8162.9104976367698</v>
      </c>
      <c r="J35" s="2">
        <f>G35*'01_Portfolio_Input'!V35</f>
        <v>49398.862790146253</v>
      </c>
      <c r="K35" s="2">
        <f t="shared" si="1"/>
        <v>89998.944195426986</v>
      </c>
      <c r="L35" s="130">
        <f t="shared" si="2"/>
        <v>89.998944195426986</v>
      </c>
      <c r="M35" s="3">
        <f t="shared" si="3"/>
        <v>1.1110985248631704E-2</v>
      </c>
      <c r="N35" s="7">
        <f t="shared" si="4"/>
        <v>23</v>
      </c>
      <c r="O35" s="4" t="b">
        <f t="shared" si="5"/>
        <v>0</v>
      </c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</row>
    <row r="36" spans="2:27" ht="12" customHeight="1">
      <c r="B36" s="9" t="str">
        <f>'01_Portfolio_Input'!B36</f>
        <v>CIB031</v>
      </c>
      <c r="C36" s="9" t="str">
        <f>'01_Portfolio_Input'!C36</f>
        <v>NaturaSolv Industrial Chemicals</v>
      </c>
      <c r="D36" s="9" t="str">
        <f>'01_Portfolio_Input'!D36</f>
        <v>Chemicals</v>
      </c>
      <c r="E36" s="10">
        <f>'01_Portfolio_Input'!I36</f>
        <v>65</v>
      </c>
      <c r="F36" s="10">
        <f>'01_Portfolio_Input'!S36</f>
        <v>1444.44933601</v>
      </c>
      <c r="G36" s="3">
        <f t="shared" si="0"/>
        <v>4.4999847609435296E-2</v>
      </c>
      <c r="H36" s="2">
        <f>G36*'01_Portfolio_Input'!T36</f>
        <v>28833.281557001366</v>
      </c>
      <c r="I36" s="2">
        <f>G36*'01_Portfolio_Input'!U36</f>
        <v>7255.9810778489227</v>
      </c>
      <c r="J36" s="2">
        <f>G36*'01_Portfolio_Input'!V36</f>
        <v>43910.466998588374</v>
      </c>
      <c r="K36" s="2">
        <f t="shared" si="1"/>
        <v>79999.729633438663</v>
      </c>
      <c r="L36" s="130">
        <f t="shared" si="2"/>
        <v>79.999729633438662</v>
      </c>
      <c r="M36" s="3">
        <f t="shared" si="3"/>
        <v>9.8765138168901648E-3</v>
      </c>
      <c r="N36" s="7">
        <f t="shared" si="4"/>
        <v>26</v>
      </c>
      <c r="O36" s="4" t="b">
        <f t="shared" si="5"/>
        <v>0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</row>
    <row r="37" spans="2:27" ht="12" customHeight="1">
      <c r="B37" s="9" t="str">
        <f>'01_Portfolio_Input'!B37</f>
        <v>CIB032</v>
      </c>
      <c r="C37" s="9" t="str">
        <f>'01_Portfolio_Input'!C37</f>
        <v>Zenith Coatings Group</v>
      </c>
      <c r="D37" s="9" t="str">
        <f>'01_Portfolio_Input'!D37</f>
        <v>Chemicals</v>
      </c>
      <c r="E37" s="10">
        <f>'01_Portfolio_Input'!I37</f>
        <v>70</v>
      </c>
      <c r="F37" s="10">
        <f>'01_Portfolio_Input'!S37</f>
        <v>1555.5739664685641</v>
      </c>
      <c r="G37" s="3">
        <f t="shared" si="0"/>
        <v>4.4999467404891545E-2</v>
      </c>
      <c r="H37" s="2">
        <f>G37*'01_Portfolio_Input'!T37</f>
        <v>32437.167687081946</v>
      </c>
      <c r="I37" s="2">
        <f>G37*'01_Portfolio_Input'!U37</f>
        <v>8162.9096871727634</v>
      </c>
      <c r="J37" s="2">
        <f>G37*'01_Portfolio_Input'!V37</f>
        <v>49398.857885523052</v>
      </c>
      <c r="K37" s="2">
        <f t="shared" si="1"/>
        <v>89998.935259777762</v>
      </c>
      <c r="L37" s="130">
        <f t="shared" si="2"/>
        <v>89.998935259777767</v>
      </c>
      <c r="M37" s="3">
        <f t="shared" si="3"/>
        <v>1.1110984145464688E-2</v>
      </c>
      <c r="N37" s="7">
        <f t="shared" si="4"/>
        <v>24</v>
      </c>
      <c r="O37" s="4" t="b">
        <f t="shared" si="5"/>
        <v>0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</row>
    <row r="38" spans="2:27" ht="12" customHeight="1">
      <c r="B38" s="9" t="str">
        <f>'01_Portfolio_Input'!B38</f>
        <v>CIB033</v>
      </c>
      <c r="C38" s="9" t="str">
        <f>'01_Portfolio_Input'!C38</f>
        <v>SkyBridge Leasing Platform</v>
      </c>
      <c r="D38" s="9" t="str">
        <f>'01_Portfolio_Input'!D38</f>
        <v>Aviation</v>
      </c>
      <c r="E38" s="10">
        <f>'01_Portfolio_Input'!I38</f>
        <v>20</v>
      </c>
      <c r="F38" s="10">
        <f>'01_Portfolio_Input'!S38</f>
        <v>333.35241795000007</v>
      </c>
      <c r="G38" s="3">
        <f t="shared" ref="G38:G65" si="6">IFERROR(E38/F38,0)</f>
        <v>5.9996564965668929E-2</v>
      </c>
      <c r="H38" s="2">
        <f>G38*'01_Portfolio_Input'!T38</f>
        <v>11173.829255255892</v>
      </c>
      <c r="I38" s="2">
        <f>G38*'01_Portfolio_Input'!U38</f>
        <v>402.61714861816552</v>
      </c>
      <c r="J38" s="2">
        <f>G38*'01_Portfolio_Input'!V38</f>
        <v>1522.8034136417755</v>
      </c>
      <c r="K38" s="2">
        <f t="shared" ref="K38:K65" si="7">SUM(H38:J38)</f>
        <v>13099.249817515833</v>
      </c>
      <c r="L38" s="130">
        <f t="shared" ref="L38:L65" si="8">K38/1000</f>
        <v>13.099249817515833</v>
      </c>
      <c r="M38" s="3">
        <f t="shared" ref="M38:M65" si="9">IFERROR(L38/SUM($L$6:$L$65),0)</f>
        <v>1.6171919881028494E-3</v>
      </c>
      <c r="N38" s="7">
        <f t="shared" ref="N38:N65" si="10">RANK(L38,$L$6:$L$65,0)</f>
        <v>46</v>
      </c>
      <c r="O38" s="4" t="b">
        <f t="shared" ref="O38:O65" si="11">N38&lt;=10</f>
        <v>0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</row>
    <row r="39" spans="2:27" ht="12" customHeight="1">
      <c r="B39" s="9" t="str">
        <f>'01_Portfolio_Input'!B39</f>
        <v>CIB034</v>
      </c>
      <c r="C39" s="9" t="str">
        <f>'01_Portfolio_Input'!C39</f>
        <v>AeroNova Services</v>
      </c>
      <c r="D39" s="9" t="str">
        <f>'01_Portfolio_Input'!D39</f>
        <v>Aviation</v>
      </c>
      <c r="E39" s="10">
        <f>'01_Portfolio_Input'!I39</f>
        <v>30</v>
      </c>
      <c r="F39" s="10">
        <f>'01_Portfolio_Input'!S39</f>
        <v>499.99681172750002</v>
      </c>
      <c r="G39" s="3">
        <f t="shared" si="6"/>
        <v>6.000038259513963E-2</v>
      </c>
      <c r="H39" s="2">
        <f>G39*'01_Portfolio_Input'!T39</f>
        <v>114219.15772359907</v>
      </c>
      <c r="I39" s="2">
        <f>G39*'01_Portfolio_Input'!U39</f>
        <v>4115.5594430499887</v>
      </c>
      <c r="J39" s="2">
        <f>G39*'01_Portfolio_Input'!V39</f>
        <v>15566.136258168326</v>
      </c>
      <c r="K39" s="2">
        <f t="shared" si="7"/>
        <v>133900.85342481738</v>
      </c>
      <c r="L39" s="130">
        <f t="shared" si="8"/>
        <v>133.90085342481737</v>
      </c>
      <c r="M39" s="3">
        <f t="shared" si="9"/>
        <v>1.6530976229584902E-2</v>
      </c>
      <c r="N39" s="7">
        <f t="shared" si="10"/>
        <v>18</v>
      </c>
      <c r="O39" s="4" t="b">
        <f t="shared" si="11"/>
        <v>0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</row>
    <row r="40" spans="2:27" ht="12" customHeight="1">
      <c r="B40" s="9" t="str">
        <f>'01_Portfolio_Input'!B40</f>
        <v>CIB035</v>
      </c>
      <c r="C40" s="9" t="str">
        <f>'01_Portfolio_Input'!C40</f>
        <v>Nimbus Fleet Holdings</v>
      </c>
      <c r="D40" s="9" t="str">
        <f>'01_Portfolio_Input'!D40</f>
        <v>Aviation</v>
      </c>
      <c r="E40" s="10">
        <f>'01_Portfolio_Input'!I40</f>
        <v>135</v>
      </c>
      <c r="F40" s="10">
        <f>'01_Portfolio_Input'!S40</f>
        <v>2250.0000250000003</v>
      </c>
      <c r="G40" s="3">
        <f t="shared" si="6"/>
        <v>5.9999999333333331E-2</v>
      </c>
      <c r="H40" s="2">
        <f>G40*'01_Portfolio_Input'!T40</f>
        <v>6824.1035241766267</v>
      </c>
      <c r="I40" s="2">
        <f>G40*'01_Portfolio_Input'!U40</f>
        <v>245.88719726791999</v>
      </c>
      <c r="J40" s="2">
        <f>G40*'01_Portfolio_Input'!V40</f>
        <v>930.00958966655992</v>
      </c>
      <c r="K40" s="2">
        <f t="shared" si="7"/>
        <v>8000.0003111111064</v>
      </c>
      <c r="L40" s="130">
        <f t="shared" si="8"/>
        <v>8.0000003111111067</v>
      </c>
      <c r="M40" s="3">
        <f t="shared" si="9"/>
        <v>9.876547579579396E-4</v>
      </c>
      <c r="N40" s="7">
        <f t="shared" si="10"/>
        <v>53</v>
      </c>
      <c r="O40" s="4" t="b">
        <f t="shared" si="11"/>
        <v>0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</row>
    <row r="41" spans="2:27" ht="12" customHeight="1">
      <c r="B41" s="9" t="str">
        <f>'01_Portfolio_Input'!B41</f>
        <v>CIB036</v>
      </c>
      <c r="C41" s="9" t="str">
        <f>'01_Portfolio_Input'!C41</f>
        <v>OceanGate Vessel Finance</v>
      </c>
      <c r="D41" s="9" t="str">
        <f>'01_Portfolio_Input'!D41</f>
        <v>Shipping</v>
      </c>
      <c r="E41" s="10">
        <f>'01_Portfolio_Input'!I41</f>
        <v>60</v>
      </c>
      <c r="F41" s="10">
        <f>'01_Portfolio_Input'!S41</f>
        <v>1000.0015759</v>
      </c>
      <c r="G41" s="3">
        <f t="shared" si="6"/>
        <v>5.9999905446149006E-2</v>
      </c>
      <c r="H41" s="2">
        <f>G41*'01_Portfolio_Input'!T41</f>
        <v>21015.214682123184</v>
      </c>
      <c r="I41" s="2">
        <f>G41*'01_Portfolio_Input'!U41</f>
        <v>765.92639297659719</v>
      </c>
      <c r="J41" s="2">
        <f>G41*'01_Portfolio_Input'!V41</f>
        <v>3218.8191274629371</v>
      </c>
      <c r="K41" s="2">
        <f t="shared" si="7"/>
        <v>24999.960202562717</v>
      </c>
      <c r="L41" s="130">
        <f t="shared" si="8"/>
        <v>24.999960202562718</v>
      </c>
      <c r="M41" s="3">
        <f t="shared" si="9"/>
        <v>3.086416085325235E-3</v>
      </c>
      <c r="N41" s="7">
        <f t="shared" si="10"/>
        <v>38</v>
      </c>
      <c r="O41" s="4" t="b">
        <f t="shared" si="11"/>
        <v>0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</row>
    <row r="42" spans="2:27" ht="12" customHeight="1">
      <c r="B42" s="9" t="str">
        <f>'01_Portfolio_Input'!B42</f>
        <v>CIB037</v>
      </c>
      <c r="C42" s="9" t="str">
        <f>'01_Portfolio_Input'!C42</f>
        <v>Triton Maritime Logistics</v>
      </c>
      <c r="D42" s="9" t="str">
        <f>'01_Portfolio_Input'!D42</f>
        <v>Shipping</v>
      </c>
      <c r="E42" s="10">
        <f>'01_Portfolio_Input'!I42</f>
        <v>55</v>
      </c>
      <c r="F42" s="10">
        <f>'01_Portfolio_Input'!S42</f>
        <v>916.65468219851994</v>
      </c>
      <c r="G42" s="3">
        <f t="shared" si="6"/>
        <v>6.0000784448170905E-2</v>
      </c>
      <c r="H42" s="2">
        <f>G42*'01_Portfolio_Input'!T42</f>
        <v>21015.522556211632</v>
      </c>
      <c r="I42" s="2">
        <f>G42*'01_Portfolio_Input'!U42</f>
        <v>765.93761384174775</v>
      </c>
      <c r="J42" s="2">
        <f>G42*'01_Portfolio_Input'!V42</f>
        <v>3218.8662833459357</v>
      </c>
      <c r="K42" s="2">
        <f t="shared" si="7"/>
        <v>25000.326453399313</v>
      </c>
      <c r="L42" s="130">
        <f t="shared" si="8"/>
        <v>25.000326453399314</v>
      </c>
      <c r="M42" s="3">
        <f t="shared" si="9"/>
        <v>3.0864613014961475E-3</v>
      </c>
      <c r="N42" s="7">
        <f t="shared" si="10"/>
        <v>36</v>
      </c>
      <c r="O42" s="4" t="b">
        <f t="shared" si="11"/>
        <v>0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</row>
    <row r="43" spans="2:27" ht="12" customHeight="1">
      <c r="B43" s="9" t="str">
        <f>'01_Portfolio_Input'!B43</f>
        <v>CIB038</v>
      </c>
      <c r="C43" s="9" t="str">
        <f>'01_Portfolio_Input'!C43</f>
        <v>Portside Freight Carriers</v>
      </c>
      <c r="D43" s="9" t="str">
        <f>'01_Portfolio_Input'!D43</f>
        <v>Shipping</v>
      </c>
      <c r="E43" s="10">
        <f>'01_Portfolio_Input'!I43</f>
        <v>55</v>
      </c>
      <c r="F43" s="10">
        <f>'01_Portfolio_Input'!S43</f>
        <v>916.65476356127999</v>
      </c>
      <c r="G43" s="3">
        <f t="shared" si="6"/>
        <v>6.000077912246965E-2</v>
      </c>
      <c r="H43" s="2">
        <f>G43*'01_Portfolio_Input'!T43</f>
        <v>21015.52069086277</v>
      </c>
      <c r="I43" s="2">
        <f>G43*'01_Portfolio_Input'!U43</f>
        <v>765.93754585672139</v>
      </c>
      <c r="J43" s="2">
        <f>G43*'01_Portfolio_Input'!V43</f>
        <v>3218.865997637668</v>
      </c>
      <c r="K43" s="2">
        <f t="shared" si="7"/>
        <v>25000.324234357162</v>
      </c>
      <c r="L43" s="130">
        <f t="shared" si="8"/>
        <v>25.000324234357162</v>
      </c>
      <c r="M43" s="3">
        <f t="shared" si="9"/>
        <v>3.0864610275402157E-3</v>
      </c>
      <c r="N43" s="7">
        <f t="shared" si="10"/>
        <v>37</v>
      </c>
      <c r="O43" s="4" t="b">
        <f t="shared" si="11"/>
        <v>0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</row>
    <row r="44" spans="2:27" ht="12" customHeight="1">
      <c r="B44" s="9" t="str">
        <f>'01_Portfolio_Input'!B44</f>
        <v>CIB039</v>
      </c>
      <c r="C44" s="9" t="str">
        <f>'01_Portfolio_Input'!C44</f>
        <v>EonDrive Components</v>
      </c>
      <c r="D44" s="9" t="str">
        <f>'01_Portfolio_Input'!D44</f>
        <v>Automotive</v>
      </c>
      <c r="E44" s="10">
        <f>'01_Portfolio_Input'!I44</f>
        <v>100</v>
      </c>
      <c r="F44" s="10">
        <f>'01_Portfolio_Input'!S44</f>
        <v>1999.989615798826</v>
      </c>
      <c r="G44" s="3">
        <f t="shared" si="6"/>
        <v>5.0000259606377252E-2</v>
      </c>
      <c r="H44" s="2">
        <f>G44*'01_Portfolio_Input'!T44</f>
        <v>5391.9299954428943</v>
      </c>
      <c r="I44" s="2">
        <f>G44*'01_Portfolio_Input'!U44</f>
        <v>3256.5484083269025</v>
      </c>
      <c r="J44" s="2">
        <f>G44*'01_Portfolio_Input'!V44</f>
        <v>91352.040808984704</v>
      </c>
      <c r="K44" s="2">
        <f t="shared" si="7"/>
        <v>100000.5192127545</v>
      </c>
      <c r="L44" s="130">
        <f t="shared" si="8"/>
        <v>100.0005192127545</v>
      </c>
      <c r="M44" s="3">
        <f t="shared" si="9"/>
        <v>1.2345748094730246E-2</v>
      </c>
      <c r="N44" s="7">
        <f t="shared" si="10"/>
        <v>20</v>
      </c>
      <c r="O44" s="4" t="b">
        <f t="shared" si="11"/>
        <v>0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</row>
    <row r="45" spans="2:27" ht="12" customHeight="1">
      <c r="B45" s="9" t="str">
        <f>'01_Portfolio_Input'!B45</f>
        <v>CIB040</v>
      </c>
      <c r="C45" s="9" t="str">
        <f>'01_Portfolio_Input'!C45</f>
        <v>ArcMotion Mobility</v>
      </c>
      <c r="D45" s="9" t="str">
        <f>'01_Portfolio_Input'!D45</f>
        <v>Automotive</v>
      </c>
      <c r="E45" s="10">
        <f>'01_Portfolio_Input'!I45</f>
        <v>100</v>
      </c>
      <c r="F45" s="10">
        <f>'01_Portfolio_Input'!S45</f>
        <v>1999.9892733872302</v>
      </c>
      <c r="G45" s="3">
        <f t="shared" si="6"/>
        <v>5.0000268166757504E-2</v>
      </c>
      <c r="H45" s="2">
        <f>G45*'01_Portfolio_Input'!T45</f>
        <v>5391.9309185775219</v>
      </c>
      <c r="I45" s="2">
        <f>G45*'01_Portfolio_Input'!U45</f>
        <v>3256.5489658698611</v>
      </c>
      <c r="J45" s="2">
        <f>G45*'01_Portfolio_Input'!V45</f>
        <v>91352.056449067633</v>
      </c>
      <c r="K45" s="2">
        <f t="shared" si="7"/>
        <v>100000.53633351502</v>
      </c>
      <c r="L45" s="130">
        <f t="shared" si="8"/>
        <v>100.00053633351502</v>
      </c>
      <c r="M45" s="3">
        <f t="shared" si="9"/>
        <v>1.2345750208405237E-2</v>
      </c>
      <c r="N45" s="7">
        <f t="shared" si="10"/>
        <v>19</v>
      </c>
      <c r="O45" s="4" t="b">
        <f t="shared" si="11"/>
        <v>0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</row>
    <row r="46" spans="2:27" ht="12" customHeight="1">
      <c r="B46" s="9" t="str">
        <f>'01_Portfolio_Input'!B46</f>
        <v>CIB041</v>
      </c>
      <c r="C46" s="9" t="str">
        <f>'01_Portfolio_Input'!C46</f>
        <v>PrimeVolt Battery Systems</v>
      </c>
      <c r="D46" s="9" t="str">
        <f>'01_Portfolio_Input'!D46</f>
        <v>Automotive</v>
      </c>
      <c r="E46" s="10">
        <f>'01_Portfolio_Input'!I46</f>
        <v>100</v>
      </c>
      <c r="F46" s="10">
        <f>'01_Portfolio_Input'!S46</f>
        <v>1999.9896615340961</v>
      </c>
      <c r="G46" s="3">
        <f t="shared" si="6"/>
        <v>5.0000258462983657E-2</v>
      </c>
      <c r="H46" s="2">
        <f>G46*'01_Portfolio_Input'!T46</f>
        <v>5391.9298721415698</v>
      </c>
      <c r="I46" s="2">
        <f>G46*'01_Portfolio_Input'!U46</f>
        <v>3256.548333856957</v>
      </c>
      <c r="J46" s="2">
        <f>G46*'01_Portfolio_Input'!V46</f>
        <v>91352.038719968798</v>
      </c>
      <c r="K46" s="2">
        <f t="shared" si="7"/>
        <v>100000.51692596733</v>
      </c>
      <c r="L46" s="130">
        <f t="shared" si="8"/>
        <v>100.00051692596733</v>
      </c>
      <c r="M46" s="3">
        <f t="shared" si="9"/>
        <v>1.234574781241073E-2</v>
      </c>
      <c r="N46" s="7">
        <f t="shared" si="10"/>
        <v>21</v>
      </c>
      <c r="O46" s="4" t="b">
        <f t="shared" si="11"/>
        <v>0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</row>
    <row r="47" spans="2:27" ht="12" customHeight="1">
      <c r="B47" s="9" t="str">
        <f>'01_Portfolio_Input'!B47</f>
        <v>CIB042</v>
      </c>
      <c r="C47" s="9" t="str">
        <f>'01_Portfolio_Input'!C47</f>
        <v>Sterling Auto Parts</v>
      </c>
      <c r="D47" s="9" t="str">
        <f>'01_Portfolio_Input'!D47</f>
        <v>Automotive</v>
      </c>
      <c r="E47" s="10">
        <f>'01_Portfolio_Input'!I47</f>
        <v>60</v>
      </c>
      <c r="F47" s="10">
        <f>'01_Portfolio_Input'!S47</f>
        <v>1200.0071455470299</v>
      </c>
      <c r="G47" s="3">
        <f t="shared" si="6"/>
        <v>4.9999702270646616E-2</v>
      </c>
      <c r="H47" s="2">
        <f>G47*'01_Portfolio_Input'!T47</f>
        <v>4313.4958147606594</v>
      </c>
      <c r="I47" s="2">
        <f>G47*'01_Portfolio_Input'!U47</f>
        <v>2605.2099869579292</v>
      </c>
      <c r="J47" s="2">
        <f>G47*'01_Portfolio_Input'!V47</f>
        <v>73080.817831316002</v>
      </c>
      <c r="K47" s="2">
        <f t="shared" si="7"/>
        <v>79999.523633034594</v>
      </c>
      <c r="L47" s="130">
        <f t="shared" si="8"/>
        <v>79.999523633034599</v>
      </c>
      <c r="M47" s="3">
        <f t="shared" si="9"/>
        <v>9.876488384731253E-3</v>
      </c>
      <c r="N47" s="7">
        <f t="shared" si="10"/>
        <v>27</v>
      </c>
      <c r="O47" s="4" t="b">
        <f t="shared" si="11"/>
        <v>0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</row>
    <row r="48" spans="2:27" ht="12" customHeight="1">
      <c r="B48" s="9" t="str">
        <f>'01_Portfolio_Input'!B48</f>
        <v>CIB043</v>
      </c>
      <c r="C48" s="9" t="str">
        <f>'01_Portfolio_Input'!C48</f>
        <v>MetroFleet Manufacturing</v>
      </c>
      <c r="D48" s="9" t="str">
        <f>'01_Portfolio_Input'!D48</f>
        <v>Automotive</v>
      </c>
      <c r="E48" s="10">
        <f>'01_Portfolio_Input'!I48</f>
        <v>60</v>
      </c>
      <c r="F48" s="10">
        <f>'01_Portfolio_Input'!S48</f>
        <v>1200.0073433246475</v>
      </c>
      <c r="G48" s="3">
        <f t="shared" si="6"/>
        <v>4.9999694030012053E-2</v>
      </c>
      <c r="H48" s="2">
        <f>G48*'01_Portfolio_Input'!T48</f>
        <v>4313.4951038375721</v>
      </c>
      <c r="I48" s="2">
        <f>G48*'01_Portfolio_Input'!U48</f>
        <v>2605.2095575837034</v>
      </c>
      <c r="J48" s="2">
        <f>G48*'01_Portfolio_Input'!V48</f>
        <v>73080.805786598008</v>
      </c>
      <c r="K48" s="2">
        <f t="shared" si="7"/>
        <v>79999.510448019282</v>
      </c>
      <c r="L48" s="130">
        <f t="shared" si="8"/>
        <v>79.999510448019279</v>
      </c>
      <c r="M48" s="3">
        <f t="shared" si="9"/>
        <v>9.8764867569509258E-3</v>
      </c>
      <c r="N48" s="7">
        <f t="shared" si="10"/>
        <v>28</v>
      </c>
      <c r="O48" s="4" t="b">
        <f t="shared" si="11"/>
        <v>0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</row>
    <row r="49" spans="2:27" ht="12" customHeight="1">
      <c r="B49" s="9" t="str">
        <f>'01_Portfolio_Input'!B49</f>
        <v>CIB044</v>
      </c>
      <c r="C49" s="9" t="str">
        <f>'01_Portfolio_Input'!C49</f>
        <v>Fieldstone Nutrition</v>
      </c>
      <c r="D49" s="9" t="str">
        <f>'01_Portfolio_Input'!D49</f>
        <v>Agriculture &amp; Food</v>
      </c>
      <c r="E49" s="10">
        <f>'01_Portfolio_Input'!I49</f>
        <v>60</v>
      </c>
      <c r="F49" s="10">
        <f>'01_Portfolio_Input'!S49</f>
        <v>1200.0048675199998</v>
      </c>
      <c r="G49" s="3">
        <f t="shared" si="6"/>
        <v>4.9999797187489335E-2</v>
      </c>
      <c r="H49" s="2">
        <f>G49*'01_Portfolio_Input'!T49</f>
        <v>1996.388402116271</v>
      </c>
      <c r="I49" s="2">
        <f>G49*'01_Portfolio_Input'!U49</f>
        <v>527.51686025094364</v>
      </c>
      <c r="J49" s="2">
        <f>G49*'01_Portfolio_Input'!V49</f>
        <v>9976.0440345051193</v>
      </c>
      <c r="K49" s="2">
        <f t="shared" si="7"/>
        <v>12499.949296872333</v>
      </c>
      <c r="L49" s="130">
        <f t="shared" si="8"/>
        <v>12.499949296872334</v>
      </c>
      <c r="M49" s="3">
        <f t="shared" si="9"/>
        <v>1.5432042396476228E-3</v>
      </c>
      <c r="N49" s="7">
        <f t="shared" si="10"/>
        <v>50</v>
      </c>
      <c r="O49" s="4" t="b">
        <f t="shared" si="11"/>
        <v>0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</row>
    <row r="50" spans="2:27" ht="12" customHeight="1">
      <c r="B50" s="9" t="str">
        <f>'01_Portfolio_Input'!B50</f>
        <v>CIB045</v>
      </c>
      <c r="C50" s="9" t="str">
        <f>'01_Portfolio_Input'!C50</f>
        <v>GreenVale Processing</v>
      </c>
      <c r="D50" s="9" t="str">
        <f>'01_Portfolio_Input'!D50</f>
        <v>Agriculture &amp; Food</v>
      </c>
      <c r="E50" s="10">
        <f>'01_Portfolio_Input'!I50</f>
        <v>60</v>
      </c>
      <c r="F50" s="10">
        <f>'01_Portfolio_Input'!S50</f>
        <v>1200.0047046299997</v>
      </c>
      <c r="G50" s="3">
        <f t="shared" si="6"/>
        <v>4.9999803974518538E-2</v>
      </c>
      <c r="H50" s="2">
        <f>G50*'01_Portfolio_Input'!T50</f>
        <v>1996.388673108298</v>
      </c>
      <c r="I50" s="2">
        <f>G50*'01_Portfolio_Input'!U50</f>
        <v>527.5169318566808</v>
      </c>
      <c r="J50" s="2">
        <f>G50*'01_Portfolio_Input'!V50</f>
        <v>9976.0453886646555</v>
      </c>
      <c r="K50" s="2">
        <f t="shared" si="7"/>
        <v>12499.950993629634</v>
      </c>
      <c r="L50" s="130">
        <f t="shared" si="8"/>
        <v>12.499950993629634</v>
      </c>
      <c r="M50" s="3">
        <f t="shared" si="9"/>
        <v>1.5432044491239172E-3</v>
      </c>
      <c r="N50" s="7">
        <f t="shared" si="10"/>
        <v>49</v>
      </c>
      <c r="O50" s="4" t="b">
        <f t="shared" si="11"/>
        <v>0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</row>
    <row r="51" spans="2:27" ht="12" customHeight="1">
      <c r="B51" s="9" t="str">
        <f>'01_Portfolio_Input'!B51</f>
        <v>CIB046</v>
      </c>
      <c r="C51" s="9" t="str">
        <f>'01_Portfolio_Input'!C51</f>
        <v>HarvestLink Foods</v>
      </c>
      <c r="D51" s="9" t="str">
        <f>'01_Portfolio_Input'!D51</f>
        <v>Agriculture &amp; Food</v>
      </c>
      <c r="E51" s="10">
        <f>'01_Portfolio_Input'!I51</f>
        <v>55</v>
      </c>
      <c r="F51" s="10">
        <f>'01_Portfolio_Input'!S51</f>
        <v>1099.9843994733999</v>
      </c>
      <c r="G51" s="3">
        <f t="shared" si="6"/>
        <v>5.0000709124902482E-2</v>
      </c>
      <c r="H51" s="2">
        <f>G51*'01_Portfolio_Input'!T51</f>
        <v>1996.4248138894675</v>
      </c>
      <c r="I51" s="2">
        <f>G51*'01_Portfolio_Input'!U51</f>
        <v>527.5264815371886</v>
      </c>
      <c r="J51" s="2">
        <f>G51*'01_Portfolio_Input'!V51</f>
        <v>9976.2259857989648</v>
      </c>
      <c r="K51" s="2">
        <f t="shared" si="7"/>
        <v>12500.17728122562</v>
      </c>
      <c r="L51" s="130">
        <f t="shared" si="8"/>
        <v>12.50017728122562</v>
      </c>
      <c r="M51" s="3">
        <f t="shared" si="9"/>
        <v>1.5432323858754361E-3</v>
      </c>
      <c r="N51" s="7">
        <f t="shared" si="10"/>
        <v>48</v>
      </c>
      <c r="O51" s="4" t="b">
        <f t="shared" si="11"/>
        <v>0</v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</row>
    <row r="52" spans="2:27" ht="12" customHeight="1">
      <c r="B52" s="9" t="str">
        <f>'01_Portfolio_Input'!B52</f>
        <v>CIB047</v>
      </c>
      <c r="C52" s="9" t="str">
        <f>'01_Portfolio_Input'!C52</f>
        <v>Prairie Ingredients</v>
      </c>
      <c r="D52" s="9" t="str">
        <f>'01_Portfolio_Input'!D52</f>
        <v>Agriculture &amp; Food</v>
      </c>
      <c r="E52" s="10">
        <f>'01_Portfolio_Input'!I52</f>
        <v>60</v>
      </c>
      <c r="F52" s="10">
        <f>'01_Portfolio_Input'!S52</f>
        <v>1200.0048675199998</v>
      </c>
      <c r="G52" s="3">
        <f t="shared" si="6"/>
        <v>4.9999797187489335E-2</v>
      </c>
      <c r="H52" s="2">
        <f>G52*'01_Portfolio_Input'!T52</f>
        <v>1996.388402116271</v>
      </c>
      <c r="I52" s="2">
        <f>G52*'01_Portfolio_Input'!U52</f>
        <v>527.51686025094364</v>
      </c>
      <c r="J52" s="2">
        <f>G52*'01_Portfolio_Input'!V52</f>
        <v>9976.0440345051193</v>
      </c>
      <c r="K52" s="2">
        <f t="shared" si="7"/>
        <v>12499.949296872333</v>
      </c>
      <c r="L52" s="130">
        <f t="shared" si="8"/>
        <v>12.499949296872334</v>
      </c>
      <c r="M52" s="3">
        <f t="shared" si="9"/>
        <v>1.5432042396476228E-3</v>
      </c>
      <c r="N52" s="7">
        <f t="shared" si="10"/>
        <v>50</v>
      </c>
      <c r="O52" s="4" t="b">
        <f t="shared" si="11"/>
        <v>0</v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</row>
    <row r="53" spans="2:27" ht="12" customHeight="1">
      <c r="B53" s="9" t="str">
        <f>'01_Portfolio_Input'!B53</f>
        <v>CIB048</v>
      </c>
      <c r="C53" s="9" t="str">
        <f>'01_Portfolio_Input'!C53</f>
        <v>MetroCore Offices</v>
      </c>
      <c r="D53" s="9" t="str">
        <f>'01_Portfolio_Input'!D53</f>
        <v>Real Estate</v>
      </c>
      <c r="E53" s="10">
        <f>'01_Portfolio_Input'!I53</f>
        <v>60</v>
      </c>
      <c r="F53" s="10">
        <f>'01_Portfolio_Input'!S53</f>
        <v>1714.2719115979999</v>
      </c>
      <c r="G53" s="3">
        <f t="shared" si="6"/>
        <v>3.5000281807143159E-2</v>
      </c>
      <c r="H53" s="2">
        <f>G53*'01_Portfolio_Input'!T53</f>
        <v>683.16805057390081</v>
      </c>
      <c r="I53" s="2">
        <f>G53*'01_Portfolio_Input'!U53</f>
        <v>646.06215181323989</v>
      </c>
      <c r="J53" s="2">
        <f>G53*'01_Portfolio_Input'!V53</f>
        <v>670.78600087898781</v>
      </c>
      <c r="K53" s="2">
        <f t="shared" si="7"/>
        <v>2000.0162032661285</v>
      </c>
      <c r="L53" s="130">
        <f t="shared" si="8"/>
        <v>2.0000162032661284</v>
      </c>
      <c r="M53" s="3">
        <f t="shared" si="9"/>
        <v>2.4691568029131932E-4</v>
      </c>
      <c r="N53" s="7">
        <f t="shared" si="10"/>
        <v>58</v>
      </c>
      <c r="O53" s="4" t="b">
        <f t="shared" si="11"/>
        <v>0</v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</row>
    <row r="54" spans="2:27" ht="12" customHeight="1">
      <c r="B54" s="9" t="str">
        <f>'01_Portfolio_Input'!B54</f>
        <v>CIB049</v>
      </c>
      <c r="C54" s="9" t="str">
        <f>'01_Portfolio_Input'!C54</f>
        <v>CivicSquare Properties</v>
      </c>
      <c r="D54" s="9" t="str">
        <f>'01_Portfolio_Input'!D54</f>
        <v>Real Estate</v>
      </c>
      <c r="E54" s="10">
        <f>'01_Portfolio_Input'!I54</f>
        <v>55</v>
      </c>
      <c r="F54" s="10">
        <f>'01_Portfolio_Input'!S54</f>
        <v>1571.443600896125</v>
      </c>
      <c r="G54" s="3">
        <f t="shared" si="6"/>
        <v>3.4999665255969689E-2</v>
      </c>
      <c r="H54" s="2">
        <f>G54*'01_Portfolio_Input'!T54</f>
        <v>683.1560161547045</v>
      </c>
      <c r="I54" s="2">
        <f>G54*'01_Portfolio_Input'!U54</f>
        <v>646.05077103693566</v>
      </c>
      <c r="J54" s="2">
        <f>G54*'01_Portfolio_Input'!V54</f>
        <v>670.77418457710007</v>
      </c>
      <c r="K54" s="2">
        <f t="shared" si="7"/>
        <v>1999.9809717687403</v>
      </c>
      <c r="L54" s="130">
        <f t="shared" si="8"/>
        <v>1.9999809717687405</v>
      </c>
      <c r="M54" s="3">
        <f t="shared" si="9"/>
        <v>2.4691133072198533E-4</v>
      </c>
      <c r="N54" s="7">
        <f t="shared" si="10"/>
        <v>60</v>
      </c>
      <c r="O54" s="4" t="b">
        <f t="shared" si="11"/>
        <v>0</v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</row>
    <row r="55" spans="2:27" ht="12" customHeight="1">
      <c r="B55" s="9" t="str">
        <f>'01_Portfolio_Input'!B55</f>
        <v>CIB050</v>
      </c>
      <c r="C55" s="9" t="str">
        <f>'01_Portfolio_Input'!C55</f>
        <v>Horizon Logistics Parks</v>
      </c>
      <c r="D55" s="9" t="str">
        <f>'01_Portfolio_Input'!D55</f>
        <v>Real Estate</v>
      </c>
      <c r="E55" s="10">
        <f>'01_Portfolio_Input'!I55</f>
        <v>55</v>
      </c>
      <c r="F55" s="10">
        <f>'01_Portfolio_Input'!S55</f>
        <v>1571.4435135563749</v>
      </c>
      <c r="G55" s="3">
        <f t="shared" si="6"/>
        <v>3.4999667201227019E-2</v>
      </c>
      <c r="H55" s="2">
        <f>G55*'01_Portfolio_Input'!T55</f>
        <v>683.15605412404614</v>
      </c>
      <c r="I55" s="2">
        <f>G55*'01_Portfolio_Input'!U55</f>
        <v>646.05080694399328</v>
      </c>
      <c r="J55" s="2">
        <f>G55*'01_Portfolio_Input'!V55</f>
        <v>670.77422185826799</v>
      </c>
      <c r="K55" s="2">
        <f t="shared" si="7"/>
        <v>1999.9810829263074</v>
      </c>
      <c r="L55" s="130">
        <f t="shared" si="8"/>
        <v>1.9999810829263074</v>
      </c>
      <c r="M55" s="3">
        <f t="shared" si="9"/>
        <v>2.4691134444514726E-4</v>
      </c>
      <c r="N55" s="7">
        <f t="shared" si="10"/>
        <v>59</v>
      </c>
      <c r="O55" s="4" t="b">
        <f t="shared" si="11"/>
        <v>0</v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</row>
    <row r="56" spans="2:27" ht="12" customHeight="1">
      <c r="B56" s="9" t="str">
        <f>'01_Portfolio_Input'!B56</f>
        <v>CIB051</v>
      </c>
      <c r="C56" s="9" t="str">
        <f>'01_Portfolio_Input'!C56</f>
        <v>UnionPoint Residential</v>
      </c>
      <c r="D56" s="9" t="str">
        <f>'01_Portfolio_Input'!D56</f>
        <v>Real Estate</v>
      </c>
      <c r="E56" s="10">
        <f>'01_Portfolio_Input'!I56</f>
        <v>50</v>
      </c>
      <c r="F56" s="10">
        <f>'01_Portfolio_Input'!S56</f>
        <v>1428.5548932662498</v>
      </c>
      <c r="G56" s="3">
        <f t="shared" si="6"/>
        <v>3.5000405119666025E-2</v>
      </c>
      <c r="H56" s="2">
        <f>G56*'01_Portfolio_Input'!T56</f>
        <v>683.17045750240277</v>
      </c>
      <c r="I56" s="2">
        <f>G56*'01_Portfolio_Input'!U56</f>
        <v>646.06442801073763</v>
      </c>
      <c r="J56" s="2">
        <f>G56*'01_Portfolio_Input'!V56</f>
        <v>670.7883641832185</v>
      </c>
      <c r="K56" s="2">
        <f t="shared" si="7"/>
        <v>2000.023249696359</v>
      </c>
      <c r="L56" s="130">
        <f t="shared" si="8"/>
        <v>2.0000232496963588</v>
      </c>
      <c r="M56" s="3">
        <f t="shared" si="9"/>
        <v>2.4691655022132848E-4</v>
      </c>
      <c r="N56" s="7">
        <f t="shared" si="10"/>
        <v>57</v>
      </c>
      <c r="O56" s="4" t="b">
        <f t="shared" si="11"/>
        <v>0</v>
      </c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</row>
    <row r="57" spans="2:27" ht="12" customHeight="1">
      <c r="B57" s="9" t="str">
        <f>'01_Portfolio_Input'!B57</f>
        <v>CIB052</v>
      </c>
      <c r="C57" s="9" t="str">
        <f>'01_Portfolio_Input'!C57</f>
        <v>Atrium Living Assets</v>
      </c>
      <c r="D57" s="9" t="str">
        <f>'01_Portfolio_Input'!D57</f>
        <v>Real Estate</v>
      </c>
      <c r="E57" s="10">
        <f>'01_Portfolio_Input'!I57</f>
        <v>50</v>
      </c>
      <c r="F57" s="10">
        <f>'01_Portfolio_Input'!S57</f>
        <v>1428.55476707875</v>
      </c>
      <c r="G57" s="3">
        <f t="shared" si="6"/>
        <v>3.5000408211331609E-2</v>
      </c>
      <c r="H57" s="2">
        <f>G57*'01_Portfolio_Input'!T57</f>
        <v>683.17051784840692</v>
      </c>
      <c r="I57" s="2">
        <f>G57*'01_Portfolio_Input'!U57</f>
        <v>646.06448507908158</v>
      </c>
      <c r="J57" s="2">
        <f>G57*'01_Portfolio_Input'!V57</f>
        <v>670.78842343548411</v>
      </c>
      <c r="K57" s="2">
        <f t="shared" si="7"/>
        <v>2000.0234263629727</v>
      </c>
      <c r="L57" s="130">
        <f t="shared" si="8"/>
        <v>2.0000234263629726</v>
      </c>
      <c r="M57" s="3">
        <f t="shared" si="9"/>
        <v>2.4691657203203032E-4</v>
      </c>
      <c r="N57" s="7">
        <f t="shared" si="10"/>
        <v>56</v>
      </c>
      <c r="O57" s="4" t="b">
        <f t="shared" si="11"/>
        <v>0</v>
      </c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</row>
    <row r="58" spans="2:27" ht="12" customHeight="1">
      <c r="B58" s="9" t="str">
        <f>'01_Portfolio_Input'!B58</f>
        <v>CIB053</v>
      </c>
      <c r="C58" s="9" t="str">
        <f>'01_Portfolio_Input'!C58</f>
        <v>Mercury Retail Services</v>
      </c>
      <c r="D58" s="9" t="str">
        <f>'01_Portfolio_Input'!D58</f>
        <v>Retail &amp; Services</v>
      </c>
      <c r="E58" s="10">
        <f>'01_Portfolio_Input'!I58</f>
        <v>40</v>
      </c>
      <c r="F58" s="10">
        <f>'01_Portfolio_Input'!S58</f>
        <v>799.9992400000001</v>
      </c>
      <c r="G58" s="3">
        <f t="shared" si="6"/>
        <v>5.0000047500045122E-2</v>
      </c>
      <c r="H58" s="2">
        <f>G58*'01_Portfolio_Input'!T58</f>
        <v>1905.4173101464444</v>
      </c>
      <c r="I58" s="2">
        <f>G58*'01_Portfolio_Input'!U58</f>
        <v>2013.9169132210675</v>
      </c>
      <c r="J58" s="2">
        <f>G58*'01_Portfolio_Input'!V58</f>
        <v>16080.684776650538</v>
      </c>
      <c r="K58" s="2">
        <f t="shared" si="7"/>
        <v>20000.019000018052</v>
      </c>
      <c r="L58" s="130">
        <f t="shared" si="8"/>
        <v>20.000019000018053</v>
      </c>
      <c r="M58" s="3">
        <f t="shared" si="9"/>
        <v>2.4691391445550511E-3</v>
      </c>
      <c r="N58" s="7">
        <f t="shared" si="10"/>
        <v>40</v>
      </c>
      <c r="O58" s="4" t="b">
        <f t="shared" si="11"/>
        <v>0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</row>
    <row r="59" spans="2:27" ht="12" customHeight="1">
      <c r="B59" s="9" t="str">
        <f>'01_Portfolio_Input'!B59</f>
        <v>CIB054</v>
      </c>
      <c r="C59" s="9" t="str">
        <f>'01_Portfolio_Input'!C59</f>
        <v>Northstar Consumer Group</v>
      </c>
      <c r="D59" s="9" t="str">
        <f>'01_Portfolio_Input'!D59</f>
        <v>Retail &amp; Services</v>
      </c>
      <c r="E59" s="10">
        <f>'01_Portfolio_Input'!I59</f>
        <v>40</v>
      </c>
      <c r="F59" s="10">
        <f>'01_Portfolio_Input'!S59</f>
        <v>799.99924200000009</v>
      </c>
      <c r="G59" s="3">
        <f t="shared" si="6"/>
        <v>5.0000047375044883E-2</v>
      </c>
      <c r="H59" s="2">
        <f>G59*'01_Portfolio_Input'!T59</f>
        <v>1905.4173053828965</v>
      </c>
      <c r="I59" s="2">
        <f>G59*'01_Portfolio_Input'!U59</f>
        <v>2013.9169081862703</v>
      </c>
      <c r="J59" s="2">
        <f>G59*'01_Portfolio_Input'!V59</f>
        <v>16080.684736448788</v>
      </c>
      <c r="K59" s="2">
        <f t="shared" si="7"/>
        <v>20000.018950017955</v>
      </c>
      <c r="L59" s="130">
        <f t="shared" si="8"/>
        <v>20.000018950017957</v>
      </c>
      <c r="M59" s="3">
        <f t="shared" si="9"/>
        <v>2.4691391383821972E-3</v>
      </c>
      <c r="N59" s="7">
        <f t="shared" si="10"/>
        <v>41</v>
      </c>
      <c r="O59" s="4" t="b">
        <f t="shared" si="11"/>
        <v>0</v>
      </c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</row>
    <row r="60" spans="2:27" ht="12" customHeight="1">
      <c r="B60" s="9" t="str">
        <f>'01_Portfolio_Input'!B60</f>
        <v>CIB055</v>
      </c>
      <c r="C60" s="9" t="str">
        <f>'01_Portfolio_Input'!C60</f>
        <v>Luna Hospitality Services</v>
      </c>
      <c r="D60" s="9" t="str">
        <f>'01_Portfolio_Input'!D60</f>
        <v>Retail &amp; Services</v>
      </c>
      <c r="E60" s="10">
        <f>'01_Portfolio_Input'!I60</f>
        <v>40</v>
      </c>
      <c r="F60" s="10">
        <f>'01_Portfolio_Input'!S60</f>
        <v>799.9992380000001</v>
      </c>
      <c r="G60" s="3">
        <f t="shared" si="6"/>
        <v>5.0000047625045355E-2</v>
      </c>
      <c r="H60" s="2">
        <f>G60*'01_Portfolio_Input'!T60</f>
        <v>1905.417314909992</v>
      </c>
      <c r="I60" s="2">
        <f>G60*'01_Portfolio_Input'!U60</f>
        <v>2013.9169182558644</v>
      </c>
      <c r="J60" s="2">
        <f>G60*'01_Portfolio_Input'!V60</f>
        <v>16080.684816852287</v>
      </c>
      <c r="K60" s="2">
        <f t="shared" si="7"/>
        <v>20000.019050018142</v>
      </c>
      <c r="L60" s="130">
        <f t="shared" si="8"/>
        <v>20.000019050018143</v>
      </c>
      <c r="M60" s="3">
        <f t="shared" si="9"/>
        <v>2.4691391507279045E-3</v>
      </c>
      <c r="N60" s="7">
        <f t="shared" si="10"/>
        <v>39</v>
      </c>
      <c r="O60" s="4" t="b">
        <f t="shared" si="11"/>
        <v>0</v>
      </c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</row>
    <row r="61" spans="2:27" ht="12" customHeight="1">
      <c r="B61" s="9" t="str">
        <f>'01_Portfolio_Input'!B61</f>
        <v>CIB056</v>
      </c>
      <c r="C61" s="9" t="str">
        <f>'01_Portfolio_Input'!C61</f>
        <v>ClearPath Business Services</v>
      </c>
      <c r="D61" s="9" t="str">
        <f>'01_Portfolio_Input'!D61</f>
        <v>Retail &amp; Services</v>
      </c>
      <c r="E61" s="10">
        <f>'01_Portfolio_Input'!I61</f>
        <v>40</v>
      </c>
      <c r="F61" s="10">
        <f>'01_Portfolio_Input'!S61</f>
        <v>799.99550746375985</v>
      </c>
      <c r="G61" s="3">
        <f t="shared" si="6"/>
        <v>5.0000280785091805E-2</v>
      </c>
      <c r="H61" s="2">
        <f>G61*'01_Portfolio_Input'!T61</f>
        <v>1429.0700251860974</v>
      </c>
      <c r="I61" s="2">
        <f>G61*'01_Portfolio_Input'!U61</f>
        <v>1510.4444821582185</v>
      </c>
      <c r="J61" s="2">
        <f>G61*'01_Portfolio_Input'!V61</f>
        <v>12060.569728183225</v>
      </c>
      <c r="K61" s="2">
        <f t="shared" si="7"/>
        <v>15000.084235527542</v>
      </c>
      <c r="L61" s="130">
        <f t="shared" si="8"/>
        <v>15.000084235527542</v>
      </c>
      <c r="M61" s="3">
        <f t="shared" si="9"/>
        <v>1.851862998606689E-3</v>
      </c>
      <c r="N61" s="7">
        <f t="shared" si="10"/>
        <v>42</v>
      </c>
      <c r="O61" s="4" t="b">
        <f t="shared" si="11"/>
        <v>0</v>
      </c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</row>
    <row r="62" spans="2:27" ht="12" customHeight="1">
      <c r="B62" s="9" t="str">
        <f>'01_Portfolio_Input'!B62</f>
        <v>CIB057</v>
      </c>
      <c r="C62" s="9" t="str">
        <f>'01_Portfolio_Input'!C62</f>
        <v>Cobalt Digital Services</v>
      </c>
      <c r="D62" s="9" t="str">
        <f>'01_Portfolio_Input'!D62</f>
        <v>Retail &amp; Services</v>
      </c>
      <c r="E62" s="10">
        <f>'01_Portfolio_Input'!I62</f>
        <v>35</v>
      </c>
      <c r="F62" s="10">
        <f>'01_Portfolio_Input'!S62</f>
        <v>700.00683561797996</v>
      </c>
      <c r="G62" s="3">
        <f t="shared" si="6"/>
        <v>4.9999511746340743E-2</v>
      </c>
      <c r="H62" s="2">
        <f>G62*'01_Portfolio_Input'!T62</f>
        <v>1429.0480451049839</v>
      </c>
      <c r="I62" s="2">
        <f>G62*'01_Portfolio_Input'!U62</f>
        <v>1510.4212504819186</v>
      </c>
      <c r="J62" s="2">
        <f>G62*'01_Portfolio_Input'!V62</f>
        <v>12060.384228315321</v>
      </c>
      <c r="K62" s="2">
        <f t="shared" si="7"/>
        <v>14999.853523902224</v>
      </c>
      <c r="L62" s="130">
        <f t="shared" si="8"/>
        <v>14.999853523902225</v>
      </c>
      <c r="M62" s="3">
        <f t="shared" si="9"/>
        <v>1.851834515678489E-3</v>
      </c>
      <c r="N62" s="7">
        <f t="shared" si="10"/>
        <v>43</v>
      </c>
      <c r="O62" s="4" t="b">
        <f t="shared" si="11"/>
        <v>0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</row>
    <row r="63" spans="2:27" ht="12" customHeight="1">
      <c r="B63" s="9" t="str">
        <f>'01_Portfolio_Input'!B63</f>
        <v>CIB058</v>
      </c>
      <c r="C63" s="9" t="str">
        <f>'01_Portfolio_Input'!C63</f>
        <v>Meridian Retail Parks</v>
      </c>
      <c r="D63" s="9" t="str">
        <f>'01_Portfolio_Input'!D63</f>
        <v>Retail &amp; Services</v>
      </c>
      <c r="E63" s="10">
        <f>'01_Portfolio_Input'!I63</f>
        <v>35</v>
      </c>
      <c r="F63" s="10">
        <f>'01_Portfolio_Input'!S63</f>
        <v>700.00689940020504</v>
      </c>
      <c r="G63" s="3">
        <f t="shared" si="6"/>
        <v>4.9999507190556909E-2</v>
      </c>
      <c r="H63" s="2">
        <f>G63*'01_Portfolio_Input'!T63</f>
        <v>1429.0479148950328</v>
      </c>
      <c r="I63" s="2">
        <f>G63*'01_Portfolio_Input'!U63</f>
        <v>1510.4211128575203</v>
      </c>
      <c r="J63" s="2">
        <f>G63*'01_Portfolio_Input'!V63</f>
        <v>12060.38312941452</v>
      </c>
      <c r="K63" s="2">
        <f t="shared" si="7"/>
        <v>14999.852157167074</v>
      </c>
      <c r="L63" s="130">
        <f t="shared" si="8"/>
        <v>14.999852157167073</v>
      </c>
      <c r="M63" s="3">
        <f t="shared" si="9"/>
        <v>1.8518343469456863E-3</v>
      </c>
      <c r="N63" s="7">
        <f t="shared" si="10"/>
        <v>44</v>
      </c>
      <c r="O63" s="4" t="b">
        <f t="shared" si="11"/>
        <v>0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</row>
    <row r="64" spans="2:27" ht="12" customHeight="1">
      <c r="B64" s="9" t="str">
        <f>'01_Portfolio_Input'!B64</f>
        <v>CIB059</v>
      </c>
      <c r="C64" s="9" t="str">
        <f>'01_Portfolio_Input'!C64</f>
        <v>Summit Care Services</v>
      </c>
      <c r="D64" s="9" t="str">
        <f>'01_Portfolio_Input'!D64</f>
        <v>Retail &amp; Services</v>
      </c>
      <c r="E64" s="10">
        <f>'01_Portfolio_Input'!I64</f>
        <v>35</v>
      </c>
      <c r="F64" s="10">
        <f>'01_Portfolio_Input'!S64</f>
        <v>700.00729045280991</v>
      </c>
      <c r="G64" s="3">
        <f t="shared" si="6"/>
        <v>4.9999479258794208E-2</v>
      </c>
      <c r="H64" s="2">
        <f>G64*'01_Portfolio_Input'!T64</f>
        <v>1429.0471165706194</v>
      </c>
      <c r="I64" s="2">
        <f>G64*'01_Portfolio_Input'!U64</f>
        <v>1510.4202690747218</v>
      </c>
      <c r="J64" s="2">
        <f>G64*'01_Portfolio_Input'!V64</f>
        <v>12060.376391992922</v>
      </c>
      <c r="K64" s="2">
        <f t="shared" si="7"/>
        <v>14999.843777638263</v>
      </c>
      <c r="L64" s="130">
        <f t="shared" si="8"/>
        <v>14.999843777638263</v>
      </c>
      <c r="M64" s="3">
        <f t="shared" si="9"/>
        <v>1.8518333124355392E-3</v>
      </c>
      <c r="N64" s="7">
        <f t="shared" si="10"/>
        <v>45</v>
      </c>
      <c r="O64" s="4" t="b">
        <f t="shared" si="11"/>
        <v>0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</row>
    <row r="65" spans="1:27" ht="12" customHeight="1">
      <c r="B65" s="9" t="str">
        <f>'01_Portfolio_Input'!B65</f>
        <v>CIB060</v>
      </c>
      <c r="C65" s="9" t="str">
        <f>'01_Portfolio_Input'!C65</f>
        <v>AtlasPoint Services</v>
      </c>
      <c r="D65" s="9" t="str">
        <f>'01_Portfolio_Input'!D65</f>
        <v>Retail &amp; Services</v>
      </c>
      <c r="E65" s="10">
        <f>'01_Portfolio_Input'!I65</f>
        <v>35</v>
      </c>
      <c r="F65" s="10">
        <f>'01_Portfolio_Input'!S65</f>
        <v>699.99370652486095</v>
      </c>
      <c r="G65" s="3">
        <f t="shared" si="6"/>
        <v>5.0000449537980156E-2</v>
      </c>
      <c r="H65" s="2">
        <f>G65*'01_Portfolio_Input'!T65</f>
        <v>952.7165655686</v>
      </c>
      <c r="I65" s="2">
        <f>G65*'01_Portfolio_Input'!U65</f>
        <v>1006.9665533128132</v>
      </c>
      <c r="J65" s="2">
        <f>G65*'01_Portfolio_Input'!V65</f>
        <v>8040.4067887146184</v>
      </c>
      <c r="K65" s="2">
        <f t="shared" si="7"/>
        <v>10000.089907596031</v>
      </c>
      <c r="L65" s="130">
        <f t="shared" si="8"/>
        <v>10.000089907596031</v>
      </c>
      <c r="M65" s="3">
        <f t="shared" si="9"/>
        <v>1.2345794991441247E-3</v>
      </c>
      <c r="N65" s="7">
        <f t="shared" si="10"/>
        <v>52</v>
      </c>
      <c r="O65" s="4" t="b">
        <f t="shared" si="11"/>
        <v>0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</row>
    <row r="66" spans="1:27" ht="12" customHeight="1">
      <c r="B66" s="9"/>
      <c r="C66" s="9"/>
      <c r="D66" s="9"/>
      <c r="E66" s="10"/>
      <c r="F66" s="10"/>
      <c r="G66" s="3"/>
      <c r="H66" s="2"/>
      <c r="I66" s="2"/>
      <c r="J66" s="2"/>
      <c r="K66" s="2"/>
      <c r="L66" s="2"/>
      <c r="M66" s="3"/>
      <c r="N66" s="7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</row>
    <row r="67" spans="1:27" ht="16" customHeight="1">
      <c r="A67" t="s">
        <v>11</v>
      </c>
      <c r="B67" s="32" t="s">
        <v>242</v>
      </c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138"/>
      <c r="N67" s="138"/>
      <c r="O67" s="138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</row>
    <row r="68" spans="1:27" ht="19" customHeight="1">
      <c r="B68" s="114" t="s">
        <v>14</v>
      </c>
      <c r="C68" s="133" t="s">
        <v>19</v>
      </c>
      <c r="D68" s="135" t="s">
        <v>234</v>
      </c>
      <c r="E68" s="135" t="s">
        <v>235</v>
      </c>
      <c r="F68" s="135" t="s">
        <v>236</v>
      </c>
      <c r="G68" s="135" t="s">
        <v>238</v>
      </c>
      <c r="H68" s="133" t="s">
        <v>243</v>
      </c>
      <c r="I68" s="135" t="s">
        <v>244</v>
      </c>
      <c r="J68" s="135" t="s">
        <v>245</v>
      </c>
      <c r="K68" s="135" t="s">
        <v>246</v>
      </c>
      <c r="L68" s="135" t="s">
        <v>247</v>
      </c>
      <c r="M68" s="3"/>
      <c r="N68" s="7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</row>
    <row r="69" spans="1:27" ht="16" customHeight="1">
      <c r="B69" s="137" t="s">
        <v>45</v>
      </c>
      <c r="C69" s="137">
        <f>SUMIF($D$6:$D$65,$B69,$E$6:$E$65)</f>
        <v>390</v>
      </c>
      <c r="D69" s="274">
        <f>SUMIF($D$6:$D$65,$B69,H$6:H$65)</f>
        <v>612822.84829586477</v>
      </c>
      <c r="E69" s="274">
        <f t="shared" ref="E69:F79" si="12">SUMIF($D$6:$D$65,$B69,I$6:I$65)</f>
        <v>166836.58288670381</v>
      </c>
      <c r="F69" s="274">
        <f t="shared" si="12"/>
        <v>210340.04972806288</v>
      </c>
      <c r="G69" s="275">
        <f>SUMIF($D$6:$D$65,$B69,L$6:L$65)</f>
        <v>989.99948091063152</v>
      </c>
      <c r="H69" s="142">
        <f>C69/SUM(C$69:C$79)</f>
        <v>8.0912863070539423E-2</v>
      </c>
      <c r="I69" s="136">
        <f t="shared" ref="I69:L79" si="13">D69/SUM(D$69:D$79)</f>
        <v>0.15925749762309113</v>
      </c>
      <c r="J69" s="136">
        <f t="shared" si="13"/>
        <v>0.28229565270122664</v>
      </c>
      <c r="K69" s="136">
        <f t="shared" si="13"/>
        <v>5.745430388228899E-2</v>
      </c>
      <c r="L69" s="142">
        <f t="shared" si="13"/>
        <v>0.12222220745907365</v>
      </c>
      <c r="M69" s="3"/>
      <c r="N69" s="7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</row>
    <row r="70" spans="1:27" ht="16" customHeight="1">
      <c r="B70" s="137" t="s">
        <v>55</v>
      </c>
      <c r="C70" s="137">
        <f t="shared" ref="C70:C79" si="14">SUMIF($D$6:$D$65,$B70,$E$6:$E$65)</f>
        <v>640</v>
      </c>
      <c r="D70" s="274">
        <f t="shared" ref="D70:D79" si="15">SUMIF($D$6:$D$65,$B70,H$6:H$65)</f>
        <v>140949.10803384491</v>
      </c>
      <c r="E70" s="274">
        <f t="shared" si="12"/>
        <v>40629.572159273994</v>
      </c>
      <c r="F70" s="274">
        <f t="shared" si="12"/>
        <v>1468419.4761545588</v>
      </c>
      <c r="G70" s="275">
        <f t="shared" ref="G70:G79" si="16">SUMIF($D$6:$D$65,$B70,L$6:L$65)</f>
        <v>1649.9981563476774</v>
      </c>
      <c r="H70" s="142">
        <f t="shared" ref="H70:H79" si="17">C70/SUM(C$69:C$79)</f>
        <v>0.13278008298755187</v>
      </c>
      <c r="I70" s="136">
        <f t="shared" si="13"/>
        <v>3.6629186232363817E-2</v>
      </c>
      <c r="J70" s="136">
        <f t="shared" si="13"/>
        <v>6.8747221941500916E-2</v>
      </c>
      <c r="K70" s="136">
        <f t="shared" si="13"/>
        <v>0.40109821652476135</v>
      </c>
      <c r="L70" s="142">
        <f t="shared" si="13"/>
        <v>0.20370355829552153</v>
      </c>
      <c r="M70" s="3"/>
      <c r="N70" s="7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</row>
    <row r="71" spans="1:27" ht="16" customHeight="1">
      <c r="B71" s="137" t="s">
        <v>62</v>
      </c>
      <c r="C71" s="137">
        <f t="shared" si="14"/>
        <v>720</v>
      </c>
      <c r="D71" s="274">
        <f t="shared" si="15"/>
        <v>1012357.1425539644</v>
      </c>
      <c r="E71" s="274">
        <f t="shared" si="12"/>
        <v>70394.952390835213</v>
      </c>
      <c r="F71" s="274">
        <f t="shared" si="12"/>
        <v>337252.98093866871</v>
      </c>
      <c r="G71" s="275">
        <f t="shared" si="16"/>
        <v>1420.0050758834684</v>
      </c>
      <c r="H71" s="142">
        <f t="shared" si="17"/>
        <v>0.14937759336099585</v>
      </c>
      <c r="I71" s="136">
        <f t="shared" si="13"/>
        <v>0.26308657660585338</v>
      </c>
      <c r="J71" s="136">
        <f t="shared" si="13"/>
        <v>0.11911170013316268</v>
      </c>
      <c r="K71" s="136">
        <f t="shared" si="13"/>
        <v>9.2120522349923753E-2</v>
      </c>
      <c r="L71" s="142">
        <f t="shared" si="13"/>
        <v>0.17530933937250623</v>
      </c>
      <c r="M71" s="3"/>
      <c r="N71" s="7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</row>
    <row r="72" spans="1:27" ht="16" customHeight="1">
      <c r="B72" s="137" t="s">
        <v>71</v>
      </c>
      <c r="C72" s="137">
        <f t="shared" si="14"/>
        <v>310</v>
      </c>
      <c r="D72" s="274">
        <f t="shared" si="15"/>
        <v>616295.38949458604</v>
      </c>
      <c r="E72" s="274">
        <f t="shared" si="12"/>
        <v>63550.124545424958</v>
      </c>
      <c r="F72" s="274">
        <f t="shared" si="12"/>
        <v>100151.41858566322</v>
      </c>
      <c r="G72" s="275">
        <f t="shared" si="16"/>
        <v>779.99693262567428</v>
      </c>
      <c r="H72" s="142">
        <f t="shared" si="17"/>
        <v>6.4315352697095429E-2</v>
      </c>
      <c r="I72" s="136">
        <f t="shared" si="13"/>
        <v>0.16015992517330291</v>
      </c>
      <c r="J72" s="136">
        <f t="shared" si="13"/>
        <v>0.10752991686468258</v>
      </c>
      <c r="K72" s="136">
        <f t="shared" si="13"/>
        <v>2.7356321561691269E-2</v>
      </c>
      <c r="L72" s="142">
        <f t="shared" si="13"/>
        <v>9.6295956467700491E-2</v>
      </c>
      <c r="M72" s="3"/>
      <c r="N72" s="7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</row>
    <row r="73" spans="1:27" ht="16" customHeight="1">
      <c r="B73" s="137" t="s">
        <v>78</v>
      </c>
      <c r="C73" s="137">
        <f t="shared" si="14"/>
        <v>335</v>
      </c>
      <c r="D73" s="274">
        <f t="shared" si="15"/>
        <v>537399.16555145977</v>
      </c>
      <c r="E73" s="274">
        <f t="shared" si="12"/>
        <v>19363.636632056707</v>
      </c>
      <c r="F73" s="274">
        <f t="shared" si="12"/>
        <v>73238.402065125993</v>
      </c>
      <c r="G73" s="275">
        <f t="shared" si="16"/>
        <v>630.00120424864235</v>
      </c>
      <c r="H73" s="142">
        <f t="shared" si="17"/>
        <v>6.9502074688796683E-2</v>
      </c>
      <c r="I73" s="136">
        <f t="shared" si="13"/>
        <v>0.13965674838733044</v>
      </c>
      <c r="J73" s="136">
        <f t="shared" si="13"/>
        <v>3.2764219616197077E-2</v>
      </c>
      <c r="K73" s="136">
        <f t="shared" si="13"/>
        <v>2.0005041424793441E-2</v>
      </c>
      <c r="L73" s="142">
        <f t="shared" si="13"/>
        <v>7.7777957837227088E-2</v>
      </c>
      <c r="M73" s="3"/>
      <c r="N73" s="7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</row>
    <row r="74" spans="1:27" ht="16" customHeight="1">
      <c r="B74" s="137" t="s">
        <v>85</v>
      </c>
      <c r="C74" s="137">
        <f t="shared" si="14"/>
        <v>330</v>
      </c>
      <c r="D74" s="274">
        <f t="shared" si="15"/>
        <v>437116.90412628709</v>
      </c>
      <c r="E74" s="274">
        <f t="shared" si="12"/>
        <v>15931.289380494838</v>
      </c>
      <c r="F74" s="274">
        <f t="shared" si="12"/>
        <v>66951.510495397757</v>
      </c>
      <c r="G74" s="275">
        <f t="shared" si="16"/>
        <v>519.99970400217978</v>
      </c>
      <c r="H74" s="142">
        <f t="shared" si="17"/>
        <v>6.8464730290456438E-2</v>
      </c>
      <c r="I74" s="136">
        <f t="shared" si="13"/>
        <v>0.11359586952981247</v>
      </c>
      <c r="J74" s="136">
        <f t="shared" si="13"/>
        <v>2.6956520304020987E-2</v>
      </c>
      <c r="K74" s="136">
        <f t="shared" si="13"/>
        <v>1.8287779404606824E-2</v>
      </c>
      <c r="L74" s="142">
        <f t="shared" si="13"/>
        <v>6.4197520227738933E-2</v>
      </c>
      <c r="M74" s="3"/>
      <c r="N74" s="7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</row>
    <row r="75" spans="1:27" ht="16" customHeight="1">
      <c r="B75" s="137" t="s">
        <v>91</v>
      </c>
      <c r="C75" s="137">
        <f t="shared" si="14"/>
        <v>460</v>
      </c>
      <c r="D75" s="274">
        <f t="shared" si="15"/>
        <v>281123.96996141766</v>
      </c>
      <c r="E75" s="274">
        <f t="shared" si="12"/>
        <v>70745.682325009751</v>
      </c>
      <c r="F75" s="274">
        <f t="shared" si="12"/>
        <v>428126.25317053834</v>
      </c>
      <c r="G75" s="275">
        <f t="shared" si="16"/>
        <v>779.99590545696572</v>
      </c>
      <c r="H75" s="142">
        <f t="shared" si="17"/>
        <v>9.5435684647302899E-2</v>
      </c>
      <c r="I75" s="136">
        <f t="shared" si="13"/>
        <v>7.3057165055812959E-2</v>
      </c>
      <c r="J75" s="136">
        <f t="shared" si="13"/>
        <v>0.119705152324382</v>
      </c>
      <c r="K75" s="136">
        <f t="shared" si="13"/>
        <v>0.11694252179481232</v>
      </c>
      <c r="L75" s="142">
        <f t="shared" si="13"/>
        <v>9.629582965669764E-2</v>
      </c>
      <c r="M75" s="3"/>
      <c r="N75" s="7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</row>
    <row r="76" spans="1:27" ht="16" customHeight="1">
      <c r="B76" s="137" t="s">
        <v>97</v>
      </c>
      <c r="C76" s="137">
        <f t="shared" si="14"/>
        <v>395</v>
      </c>
      <c r="D76" s="274">
        <f t="shared" si="15"/>
        <v>70273.164484681023</v>
      </c>
      <c r="E76" s="274">
        <f t="shared" si="12"/>
        <v>18568.672713483564</v>
      </c>
      <c r="F76" s="274">
        <f t="shared" si="12"/>
        <v>351158.2029042471</v>
      </c>
      <c r="G76" s="275">
        <f t="shared" si="16"/>
        <v>440.00004010241162</v>
      </c>
      <c r="H76" s="142">
        <f t="shared" si="17"/>
        <v>8.1950207468879668E-2</v>
      </c>
      <c r="I76" s="136">
        <f t="shared" si="13"/>
        <v>1.826225695893607E-2</v>
      </c>
      <c r="J76" s="136">
        <f t="shared" si="13"/>
        <v>3.1419101810590093E-2</v>
      </c>
      <c r="K76" s="136">
        <f t="shared" si="13"/>
        <v>9.5918728394820546E-2</v>
      </c>
      <c r="L76" s="142">
        <f t="shared" si="13"/>
        <v>5.4321014526120003E-2</v>
      </c>
      <c r="M76" s="3"/>
      <c r="N76" s="7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</row>
    <row r="77" spans="1:27" ht="16" customHeight="1">
      <c r="B77" s="137" t="s">
        <v>109</v>
      </c>
      <c r="C77" s="137">
        <f t="shared" si="14"/>
        <v>520</v>
      </c>
      <c r="D77" s="274">
        <f t="shared" si="15"/>
        <v>102474.32813465034</v>
      </c>
      <c r="E77" s="274">
        <f t="shared" si="12"/>
        <v>96908.473530455303</v>
      </c>
      <c r="F77" s="274">
        <f t="shared" si="12"/>
        <v>100617.04290095816</v>
      </c>
      <c r="G77" s="275">
        <f t="shared" si="16"/>
        <v>299.99984456606376</v>
      </c>
      <c r="H77" s="142">
        <f t="shared" si="17"/>
        <v>0.1078838174273859</v>
      </c>
      <c r="I77" s="136">
        <f t="shared" si="13"/>
        <v>2.6630542765685029E-2</v>
      </c>
      <c r="J77" s="136">
        <f t="shared" si="13"/>
        <v>0.16397387380043046</v>
      </c>
      <c r="K77" s="136">
        <f t="shared" si="13"/>
        <v>2.7483506664768519E-2</v>
      </c>
      <c r="L77" s="142">
        <f t="shared" si="13"/>
        <v>3.7037032793710359E-2</v>
      </c>
      <c r="M77" s="3"/>
      <c r="N77" s="7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</row>
    <row r="78" spans="1:27" ht="16" customHeight="1">
      <c r="B78" s="137" t="s">
        <v>174</v>
      </c>
      <c r="C78" s="137">
        <f t="shared" si="14"/>
        <v>420</v>
      </c>
      <c r="D78" s="274">
        <f t="shared" si="15"/>
        <v>24802.781704760218</v>
      </c>
      <c r="E78" s="274">
        <f t="shared" si="12"/>
        <v>14980.065252595352</v>
      </c>
      <c r="F78" s="274">
        <f t="shared" si="12"/>
        <v>420217.75959593512</v>
      </c>
      <c r="G78" s="275">
        <f t="shared" si="16"/>
        <v>460.00060655329071</v>
      </c>
      <c r="H78" s="142">
        <f t="shared" si="17"/>
        <v>8.7136929460580909E-2</v>
      </c>
      <c r="I78" s="136">
        <f t="shared" si="13"/>
        <v>6.445629368056564E-3</v>
      </c>
      <c r="J78" s="136">
        <f t="shared" si="13"/>
        <v>2.5347002586717383E-2</v>
      </c>
      <c r="K78" s="136">
        <f t="shared" si="13"/>
        <v>0.11478231980915232</v>
      </c>
      <c r="L78" s="142">
        <f t="shared" si="13"/>
        <v>5.6790221257228386E-2</v>
      </c>
      <c r="M78" s="3"/>
      <c r="N78" s="7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</row>
    <row r="79" spans="1:27" ht="16" customHeight="1">
      <c r="B79" s="137" t="s">
        <v>205</v>
      </c>
      <c r="C79" s="137">
        <f t="shared" si="14"/>
        <v>300</v>
      </c>
      <c r="D79" s="274">
        <f t="shared" si="15"/>
        <v>12385.181597764666</v>
      </c>
      <c r="E79" s="274">
        <f t="shared" si="12"/>
        <v>13090.424407548397</v>
      </c>
      <c r="F79" s="274">
        <f t="shared" si="12"/>
        <v>104524.17459657222</v>
      </c>
      <c r="G79" s="275">
        <f t="shared" si="16"/>
        <v>129.99978060188528</v>
      </c>
      <c r="H79" s="142">
        <f t="shared" si="17"/>
        <v>6.2240663900414939E-2</v>
      </c>
      <c r="I79" s="136">
        <f t="shared" si="13"/>
        <v>3.2186022997551279E-3</v>
      </c>
      <c r="J79" s="136">
        <f t="shared" si="13"/>
        <v>2.2149637917089279E-2</v>
      </c>
      <c r="K79" s="136">
        <f t="shared" si="13"/>
        <v>2.8550738188380661E-2</v>
      </c>
      <c r="L79" s="142">
        <f t="shared" si="13"/>
        <v>1.6049362106475677E-2</v>
      </c>
      <c r="M79" s="3"/>
      <c r="N79" s="7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</row>
    <row r="80" spans="1:27" ht="12" customHeight="1">
      <c r="H80" s="2"/>
      <c r="I80" s="2"/>
      <c r="J80" s="2"/>
      <c r="K80" s="2"/>
      <c r="L80" s="2"/>
      <c r="M80" s="3"/>
      <c r="N80" s="7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</row>
    <row r="81" spans="1:63" ht="18">
      <c r="A81" s="74" t="s">
        <v>11</v>
      </c>
      <c r="B81" s="116"/>
      <c r="C81" s="117"/>
      <c r="D81" s="117"/>
      <c r="E81" s="117"/>
      <c r="F81" s="117"/>
      <c r="G81" s="117"/>
      <c r="H81" s="117"/>
      <c r="I81" s="118"/>
      <c r="J81" s="118"/>
      <c r="K81" s="118"/>
      <c r="L81" s="118"/>
      <c r="M81" s="118"/>
      <c r="N81" s="118"/>
      <c r="O81" s="118"/>
      <c r="P81" s="118"/>
      <c r="Q81" s="118"/>
      <c r="R81" s="120"/>
      <c r="S81" s="120"/>
      <c r="T81" s="120"/>
      <c r="U81" s="120"/>
      <c r="V81" s="120"/>
      <c r="W81" s="120"/>
      <c r="X81" s="120"/>
      <c r="Y81" s="120"/>
      <c r="Z81" s="120"/>
      <c r="AA81" s="120"/>
      <c r="AB81" s="120"/>
      <c r="AC81" s="120"/>
      <c r="AD81" s="120"/>
      <c r="AE81" s="120"/>
      <c r="AF81" s="120"/>
      <c r="AG81" s="120"/>
      <c r="AH81" s="120"/>
      <c r="AI81" s="120"/>
      <c r="AJ81" s="120"/>
      <c r="AK81" s="120"/>
      <c r="AL81" s="120"/>
      <c r="AM81" s="120"/>
      <c r="AN81" s="120"/>
      <c r="AO81" s="120"/>
      <c r="AP81" s="120"/>
      <c r="AQ81" s="120"/>
      <c r="AR81" s="120"/>
      <c r="AS81" s="120"/>
      <c r="AT81" s="120"/>
      <c r="AU81" s="120"/>
      <c r="AV81" s="120"/>
      <c r="AW81" s="120"/>
      <c r="AX81" s="120"/>
      <c r="AY81" s="120"/>
      <c r="AZ81" s="120"/>
      <c r="BA81" s="120"/>
      <c r="BB81" s="120"/>
      <c r="BC81" s="120"/>
      <c r="BD81" s="120"/>
      <c r="BE81" s="120"/>
      <c r="BF81" s="120"/>
      <c r="BG81" s="120"/>
      <c r="BH81" s="120"/>
      <c r="BI81" s="120"/>
      <c r="BJ81" s="120"/>
      <c r="BK81" s="120"/>
    </row>
    <row r="82" spans="1:63"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</row>
    <row r="83" spans="1:63" hidden="1"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</row>
    <row r="84" spans="1:63" hidden="1"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</row>
    <row r="85" spans="1:63" hidden="1"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</row>
    <row r="86" spans="1:63" hidden="1"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</row>
    <row r="87" spans="1:63" hidden="1"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</row>
    <row r="88" spans="1:63" hidden="1"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</row>
    <row r="89" spans="1:63" hidden="1"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</row>
    <row r="90" spans="1:63" hidden="1"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</row>
    <row r="91" spans="1:63" hidden="1"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</row>
    <row r="92" spans="1:63" hidden="1"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</row>
    <row r="93" spans="1:63" hidden="1"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</row>
    <row r="94" spans="1:63" hidden="1"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</row>
    <row r="95" spans="1:63" hidden="1"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</row>
    <row r="96" spans="1:63" hidden="1"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</row>
    <row r="97" spans="2:27" hidden="1"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</row>
    <row r="98" spans="2:27" hidden="1"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</row>
    <row r="99" spans="2:27" hidden="1"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</row>
    <row r="100" spans="2:27" hidden="1"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</row>
    <row r="101" spans="2:27" hidden="1"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</row>
    <row r="102" spans="2:27" hidden="1"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</row>
    <row r="103" spans="2:27" hidden="1"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</row>
    <row r="104" spans="2:27" hidden="1"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</row>
    <row r="105" spans="2:27" hidden="1"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</row>
    <row r="106" spans="2:27" hidden="1"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</row>
    <row r="107" spans="2:27" hidden="1"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</row>
    <row r="108" spans="2:27" hidden="1"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</row>
    <row r="109" spans="2:27" hidden="1"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</row>
    <row r="110" spans="2:27" hidden="1"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</row>
    <row r="111" spans="2:27" hidden="1"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</row>
    <row r="112" spans="2:27" hidden="1"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</row>
    <row r="113" spans="2:27" hidden="1"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</row>
    <row r="114" spans="2:27" hidden="1"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</row>
    <row r="115" spans="2:27" hidden="1"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</row>
    <row r="116" spans="2:27" hidden="1"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</row>
    <row r="117" spans="2:27" hidden="1"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</row>
    <row r="118" spans="2:27" hidden="1"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K102"/>
  <sheetViews>
    <sheetView showGridLines="0" workbookViewId="0"/>
  </sheetViews>
  <sheetFormatPr baseColWidth="10" defaultRowHeight="14" zeroHeight="1"/>
  <cols>
    <col min="1" max="1" width="2.83203125" customWidth="1"/>
    <col min="2" max="2" width="40" customWidth="1"/>
    <col min="3" max="4" width="24" customWidth="1"/>
    <col min="5" max="6" width="8.83203125" customWidth="1"/>
  </cols>
  <sheetData>
    <row r="1" spans="1:62" ht="47" customHeight="1">
      <c r="A1" s="132" t="s">
        <v>248</v>
      </c>
      <c r="B1" s="21"/>
      <c r="C1" s="21"/>
      <c r="D1" s="21"/>
      <c r="E1" s="21"/>
      <c r="F1" s="21"/>
      <c r="G1" s="140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119"/>
      <c r="T1" s="119"/>
      <c r="U1" s="119"/>
      <c r="V1" s="119"/>
      <c r="W1" s="119"/>
      <c r="X1" s="119"/>
      <c r="Y1" s="119"/>
      <c r="Z1" s="119"/>
      <c r="AA1" s="119"/>
      <c r="AB1" s="119"/>
      <c r="AC1" s="119"/>
      <c r="AD1" s="119"/>
      <c r="AE1" s="119"/>
      <c r="AF1" s="119"/>
      <c r="AG1" s="119"/>
      <c r="AH1" s="119"/>
      <c r="AI1" s="119"/>
      <c r="AJ1" s="119"/>
      <c r="AK1" s="119"/>
      <c r="AL1" s="119"/>
      <c r="AM1" s="119"/>
      <c r="AN1" s="119"/>
      <c r="AO1" s="119"/>
      <c r="AP1" s="119"/>
      <c r="AQ1" s="119"/>
      <c r="AR1" s="119"/>
      <c r="AS1" s="119"/>
      <c r="AT1" s="119"/>
      <c r="AU1" s="119"/>
      <c r="AV1" s="119"/>
      <c r="AW1" s="119"/>
      <c r="AX1" s="119"/>
      <c r="AY1" s="119"/>
      <c r="AZ1" s="119"/>
      <c r="BA1" s="119"/>
      <c r="BB1" s="119"/>
      <c r="BC1" s="119"/>
      <c r="BD1" s="119"/>
      <c r="BE1" s="119"/>
      <c r="BF1" s="119"/>
      <c r="BG1" s="119"/>
      <c r="BH1" s="119"/>
      <c r="BI1" s="119"/>
      <c r="BJ1" s="119"/>
    </row>
    <row r="2" spans="1:62" ht="15">
      <c r="A2" s="34" t="s">
        <v>249</v>
      </c>
      <c r="B2" s="25"/>
      <c r="C2" s="26"/>
      <c r="D2" s="25"/>
      <c r="E2" s="27"/>
      <c r="F2" s="27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29"/>
      <c r="V2" s="129"/>
      <c r="W2" s="129"/>
      <c r="X2" s="129"/>
      <c r="Y2" s="129"/>
      <c r="Z2" s="129"/>
      <c r="AA2" s="129"/>
      <c r="AB2" s="129"/>
      <c r="AC2" s="129"/>
      <c r="AD2" s="129"/>
      <c r="AE2" s="129"/>
      <c r="AF2" s="129"/>
      <c r="AG2" s="129"/>
      <c r="AH2" s="129"/>
      <c r="AI2" s="129"/>
      <c r="AJ2" s="129"/>
      <c r="AK2" s="129"/>
      <c r="AL2" s="129"/>
      <c r="AM2" s="129"/>
      <c r="AN2" s="129"/>
      <c r="AO2" s="129"/>
      <c r="AP2" s="129"/>
      <c r="AQ2" s="129"/>
      <c r="AR2" s="129"/>
      <c r="AS2" s="129"/>
      <c r="AT2" s="129"/>
      <c r="AU2" s="129"/>
      <c r="AV2" s="129"/>
      <c r="AW2" s="129"/>
      <c r="AX2" s="129"/>
      <c r="AY2" s="129"/>
      <c r="AZ2" s="129"/>
      <c r="BA2" s="129"/>
      <c r="BB2" s="129"/>
      <c r="BC2" s="129"/>
      <c r="BD2" s="129"/>
      <c r="BE2" s="129"/>
      <c r="BF2" s="129"/>
      <c r="BG2" s="129"/>
      <c r="BH2" s="129"/>
      <c r="BI2" s="129"/>
      <c r="BJ2" s="129"/>
    </row>
    <row r="3" spans="1:62" ht="15">
      <c r="B3" s="79"/>
      <c r="C3" s="79"/>
      <c r="D3" s="79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 spans="1:62" ht="15">
      <c r="A4" t="s">
        <v>11</v>
      </c>
      <c r="B4" s="32" t="s">
        <v>250</v>
      </c>
      <c r="C4" s="32"/>
      <c r="D4" s="32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</row>
    <row r="5" spans="1:62" ht="15">
      <c r="B5" s="114" t="s">
        <v>251</v>
      </c>
      <c r="C5" s="114" t="s">
        <v>252</v>
      </c>
      <c r="D5" s="114" t="s">
        <v>253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</row>
    <row r="6" spans="1:62" ht="16">
      <c r="B6" s="8" t="s">
        <v>254</v>
      </c>
      <c r="C6" s="5">
        <f>SUM('03_Financed_Emissions'!E6:E65)</f>
        <v>4820</v>
      </c>
      <c r="D6" s="139" t="str">
        <f>TEXT(C6,"#,##0")&amp;" €m"</f>
        <v>4,820 €m</v>
      </c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spans="1:62" ht="16">
      <c r="B7" s="8" t="s">
        <v>255</v>
      </c>
      <c r="C7" s="5">
        <f>SUM('03_Financed_Emissions'!L6:L65)</f>
        <v>8099.9967312988902</v>
      </c>
      <c r="D7" s="139" t="str">
        <f>TEXT(C7,"#,##0")&amp;" ktCO₂e"</f>
        <v>8,100 ktCO₂e</v>
      </c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</row>
    <row r="8" spans="1:62" ht="16">
      <c r="B8" s="8" t="s">
        <v>256</v>
      </c>
      <c r="C8" s="5">
        <f>ROUNDUP(C7*1000/C6,0)</f>
        <v>1681</v>
      </c>
      <c r="D8" s="139" t="str">
        <f>TEXT(C8,"#,##0")&amp;" tCO₂e / €m"</f>
        <v>1,681 tCO₂e / €m</v>
      </c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</row>
    <row r="9" spans="1:62" ht="16">
      <c r="B9" s="8" t="s">
        <v>257</v>
      </c>
      <c r="C9" s="12">
        <f>SUM('03_Financed_Emissions'!H6:H65)/SUM('03_Financed_Emissions'!K6:K65)</f>
        <v>0.47506191812033316</v>
      </c>
      <c r="D9" s="139" t="str">
        <f>TEXT(C9,"0.0%")</f>
        <v>47.5%</v>
      </c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</row>
    <row r="10" spans="1:62" ht="16">
      <c r="B10" s="8" t="s">
        <v>258</v>
      </c>
      <c r="C10" s="12">
        <f>SUM('03_Financed_Emissions'!I6:I65)/SUM('03_Financed_Emissions'!K6:K65)</f>
        <v>7.2962927742948727E-2</v>
      </c>
      <c r="D10" s="139" t="str">
        <f>TEXT(C10,"0.0%")</f>
        <v>7.3%</v>
      </c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</row>
    <row r="11" spans="1:62" ht="16">
      <c r="B11" s="8" t="s">
        <v>259</v>
      </c>
      <c r="C11" s="12">
        <f>SUM('03_Financed_Emissions'!J6:J65)/SUM('03_Financed_Emissions'!K6:K65)</f>
        <v>0.45197515413671796</v>
      </c>
      <c r="D11" s="139" t="str">
        <f>TEXT(C11,"0.0%")</f>
        <v>45.2%</v>
      </c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</row>
    <row r="12" spans="1:62" ht="16">
      <c r="B12" s="8" t="s">
        <v>260</v>
      </c>
      <c r="C12" s="12">
        <f>SUMIF('03_Financed_Emissions'!O6:O65,TRUE,'03_Financed_Emissions'!L6:L65)/C7</f>
        <v>0.59629614395424624</v>
      </c>
      <c r="D12" s="139" t="str">
        <f>TEXT(C12,"0.0%")</f>
        <v>59.6%</v>
      </c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</row>
    <row r="13" spans="1:62" ht="16">
      <c r="B13" s="8" t="s">
        <v>261</v>
      </c>
      <c r="C13" s="12">
        <f>SUMIF('01_Portfolio_Input'!AD6:AD65,TRUE,'01_Portfolio_Input'!I6:I65)/C6</f>
        <v>0.5114107883817427</v>
      </c>
      <c r="D13" s="139" t="str">
        <f>TEXT(C13,"0.0%")</f>
        <v>51.1%</v>
      </c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</row>
    <row r="14" spans="1:62" ht="16">
      <c r="B14" s="8" t="s">
        <v>262</v>
      </c>
      <c r="C14" s="6">
        <f>SUMPRODUCT('01_Portfolio_Input'!W6:W65,'01_Portfolio_Input'!I6:I65)/C6</f>
        <v>2.7985145228215766</v>
      </c>
      <c r="D14" s="139" t="str">
        <f>TEXT(C14,"0.0")&amp;" / 5"</f>
        <v>2.8 / 5</v>
      </c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</row>
    <row r="15" spans="1:62" ht="16">
      <c r="B15" s="8" t="s">
        <v>263</v>
      </c>
      <c r="C15" s="12">
        <f>(SUMIF('01_Portfolio_Input'!Z6:Z65,"Credible transition plan",'01_Portfolio_Input'!I6:I65)+SUMIF('01_Portfolio_Input'!Z6:Z65,"Partial transition plan",'01_Portfolio_Input'!I6:I65))/C6</f>
        <v>0.58599999999999997</v>
      </c>
      <c r="D15" s="139" t="str">
        <f>TEXT(C15,"0.0%")</f>
        <v>58.6%</v>
      </c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</row>
    <row r="16" spans="1:62" ht="16">
      <c r="B16" s="8" t="s">
        <v>264</v>
      </c>
      <c r="C16" s="12">
        <f>SUMIF('06_Alignment_Analysis'!O13:O72,"Aligned",'06_Alignment_Analysis'!E13:E72)/C6</f>
        <v>0.28400000000000003</v>
      </c>
      <c r="D16" s="139" t="str">
        <f>TEXT(C16,"0.0%")</f>
        <v>28.4%</v>
      </c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</row>
    <row r="17" spans="1:63" ht="16">
      <c r="B17" s="8" t="s">
        <v>265</v>
      </c>
      <c r="C17" s="12">
        <f>SUMIF('06_Alignment_Analysis'!O13:O72,"Partially aligned",'06_Alignment_Analysis'!E13:E72)/C6</f>
        <v>0.37</v>
      </c>
      <c r="D17" s="139" t="str">
        <f>TEXT(C17,"0.0%")</f>
        <v>37.0%</v>
      </c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</row>
    <row r="18" spans="1:63" ht="16">
      <c r="B18" s="8" t="s">
        <v>266</v>
      </c>
      <c r="C18" s="12">
        <f>SUMIF('06_Alignment_Analysis'!O13:O72,"Misaligned",'06_Alignment_Analysis'!E13:E72)/C6</f>
        <v>0.34600000000000003</v>
      </c>
      <c r="D18" s="139" t="str">
        <f>TEXT(C18,"0.0%")</f>
        <v>34.6%</v>
      </c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</row>
    <row r="19" spans="1:63"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</row>
    <row r="20" spans="1:63" ht="14" customHeight="1">
      <c r="A20" s="74" t="s">
        <v>11</v>
      </c>
      <c r="B20" s="116"/>
      <c r="C20" s="117"/>
      <c r="D20" s="117"/>
      <c r="E20" s="117"/>
      <c r="F20" s="117"/>
      <c r="G20" s="141"/>
      <c r="H20" s="141"/>
      <c r="I20" s="120"/>
      <c r="J20" s="120"/>
      <c r="K20" s="120"/>
      <c r="L20" s="120"/>
      <c r="M20" s="120"/>
      <c r="N20" s="120"/>
      <c r="O20" s="120"/>
      <c r="P20" s="120"/>
      <c r="Q20" s="120"/>
      <c r="R20" s="120"/>
      <c r="S20" s="120"/>
      <c r="T20" s="120"/>
      <c r="U20" s="120"/>
      <c r="V20" s="120"/>
      <c r="W20" s="120"/>
      <c r="X20" s="120"/>
      <c r="Y20" s="120"/>
      <c r="Z20" s="120"/>
      <c r="AA20" s="120"/>
      <c r="AB20" s="120"/>
      <c r="AC20" s="120"/>
      <c r="AD20" s="120"/>
      <c r="AE20" s="120"/>
      <c r="AF20" s="120"/>
      <c r="AG20" s="120"/>
      <c r="AH20" s="120"/>
      <c r="AI20" s="120"/>
      <c r="AJ20" s="120"/>
      <c r="AK20" s="120"/>
      <c r="AL20" s="120"/>
      <c r="AM20" s="120"/>
      <c r="AN20" s="120"/>
      <c r="AO20" s="120"/>
      <c r="AP20" s="120"/>
      <c r="AQ20" s="120"/>
      <c r="AR20" s="120"/>
      <c r="AS20" s="120"/>
      <c r="AT20" s="120"/>
      <c r="AU20" s="120"/>
      <c r="AV20" s="120"/>
      <c r="AW20" s="120"/>
      <c r="AX20" s="120"/>
      <c r="AY20" s="120"/>
      <c r="AZ20" s="120"/>
      <c r="BA20" s="120"/>
      <c r="BB20" s="120"/>
      <c r="BC20" s="120"/>
      <c r="BD20" s="120"/>
      <c r="BE20" s="120"/>
      <c r="BF20" s="120"/>
      <c r="BG20" s="120"/>
      <c r="BH20" s="120"/>
      <c r="BI20" s="120"/>
      <c r="BJ20" s="120"/>
      <c r="BK20" s="120"/>
    </row>
    <row r="21" spans="1:63"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</row>
    <row r="22" spans="1:63" hidden="1"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</row>
    <row r="23" spans="1:63" hidden="1"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</row>
    <row r="24" spans="1:63" hidden="1"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</row>
    <row r="25" spans="1:63" hidden="1"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</row>
    <row r="26" spans="1:63" hidden="1"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</row>
    <row r="27" spans="1:63" hidden="1"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</row>
    <row r="28" spans="1:63" hidden="1"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</row>
    <row r="29" spans="1:63" hidden="1"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</row>
    <row r="30" spans="1:63" hidden="1"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</row>
    <row r="31" spans="1:63" hidden="1"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</row>
    <row r="32" spans="1:63" hidden="1"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</row>
    <row r="33" spans="2:27" hidden="1"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</row>
    <row r="34" spans="2:27" hidden="1"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</row>
    <row r="35" spans="2:27" hidden="1"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</row>
    <row r="36" spans="2:27" hidden="1"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</row>
    <row r="37" spans="2:27" hidden="1"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</row>
    <row r="38" spans="2:27" hidden="1"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</row>
    <row r="39" spans="2:27" hidden="1"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</row>
    <row r="40" spans="2:27" hidden="1"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</row>
    <row r="41" spans="2:27" hidden="1"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</row>
    <row r="42" spans="2:27" hidden="1"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</row>
    <row r="43" spans="2:27" hidden="1"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</row>
    <row r="44" spans="2:27" hidden="1"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</row>
    <row r="45" spans="2:27" hidden="1"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</row>
    <row r="46" spans="2:27" hidden="1"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</row>
    <row r="47" spans="2:27" hidden="1"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</row>
    <row r="48" spans="2:27" hidden="1"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</row>
    <row r="49" spans="2:27" hidden="1"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</row>
    <row r="50" spans="2:27" hidden="1"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</row>
    <row r="51" spans="2:27" hidden="1"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</row>
    <row r="52" spans="2:27" hidden="1"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</row>
    <row r="53" spans="2:27" hidden="1"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</row>
    <row r="54" spans="2:27" hidden="1"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</row>
    <row r="55" spans="2:27" hidden="1"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</row>
    <row r="56" spans="2:27" hidden="1"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</row>
    <row r="57" spans="2:27" hidden="1"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</row>
    <row r="58" spans="2:27" hidden="1"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</row>
    <row r="59" spans="2:27" hidden="1"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</row>
    <row r="60" spans="2:27" hidden="1"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</row>
    <row r="61" spans="2:27" hidden="1"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</row>
    <row r="62" spans="2:27" hidden="1"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</row>
    <row r="63" spans="2:27" hidden="1"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</row>
    <row r="64" spans="2:27" hidden="1"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</row>
    <row r="65" spans="2:27" hidden="1"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</row>
    <row r="66" spans="2:27" hidden="1"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</row>
    <row r="67" spans="2:27" hidden="1"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</row>
    <row r="68" spans="2:27" hidden="1"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</row>
    <row r="69" spans="2:27" hidden="1"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</row>
    <row r="70" spans="2:27" hidden="1"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</row>
    <row r="71" spans="2:27" hidden="1"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</row>
    <row r="72" spans="2:27" hidden="1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</row>
    <row r="73" spans="2:27" hidden="1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</row>
    <row r="74" spans="2:27" hidden="1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</row>
    <row r="75" spans="2:27" hidden="1"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</row>
    <row r="76" spans="2:27" hidden="1"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</row>
    <row r="77" spans="2:27" hidden="1"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</row>
    <row r="78" spans="2:27" hidden="1"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</row>
    <row r="79" spans="2:27" hidden="1"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</row>
    <row r="80" spans="2:27" hidden="1"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</row>
    <row r="81" spans="2:27" hidden="1"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</row>
    <row r="82" spans="2:27" hidden="1"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</row>
    <row r="83" spans="2:27" hidden="1"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</row>
    <row r="84" spans="2:27" hidden="1"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</row>
    <row r="85" spans="2:27" hidden="1"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</row>
    <row r="86" spans="2:27" hidden="1"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</row>
    <row r="87" spans="2:27" hidden="1"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</row>
    <row r="88" spans="2:27" hidden="1"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</row>
    <row r="89" spans="2:27" hidden="1"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</row>
    <row r="90" spans="2:27" hidden="1"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</row>
    <row r="91" spans="2:27" hidden="1"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</row>
    <row r="92" spans="2:27" hidden="1"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</row>
    <row r="93" spans="2:27" hidden="1"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</row>
    <row r="94" spans="2:27" hidden="1"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</row>
    <row r="95" spans="2:27" hidden="1"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</row>
    <row r="96" spans="2:27" hidden="1"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</row>
    <row r="97" spans="2:27" hidden="1"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</row>
    <row r="98" spans="2:27" hidden="1"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</row>
    <row r="99" spans="2:27" hidden="1"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</row>
    <row r="100" spans="2:27" hidden="1"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</row>
    <row r="101" spans="2:27" hidden="1"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</row>
    <row r="102" spans="2:27" hidden="1"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C205"/>
  <sheetViews>
    <sheetView showGridLines="0" workbookViewId="0"/>
  </sheetViews>
  <sheetFormatPr baseColWidth="10" defaultColWidth="0" defaultRowHeight="14" zeroHeight="1"/>
  <cols>
    <col min="1" max="1" width="2.83203125" customWidth="1"/>
    <col min="2" max="2" width="18" customWidth="1"/>
    <col min="3" max="3" width="22" customWidth="1"/>
    <col min="4" max="4" width="18.5" customWidth="1"/>
    <col min="5" max="5" width="17.33203125" customWidth="1"/>
    <col min="6" max="6" width="14.83203125" customWidth="1"/>
    <col min="7" max="7" width="17.83203125" customWidth="1"/>
    <col min="8" max="8" width="16" customWidth="1"/>
    <col min="9" max="9" width="14" customWidth="1"/>
    <col min="10" max="11" width="16" customWidth="1"/>
    <col min="12" max="12" width="17" customWidth="1"/>
    <col min="13" max="14" width="18.33203125" customWidth="1"/>
    <col min="15" max="15" width="15" customWidth="1"/>
    <col min="16" max="16" width="18.5" customWidth="1"/>
    <col min="17" max="17" width="18" customWidth="1"/>
    <col min="18" max="18" width="14" customWidth="1"/>
    <col min="19" max="19" width="17.1640625" customWidth="1"/>
    <col min="20" max="20" width="14.6640625" customWidth="1"/>
    <col min="21" max="21" width="14" customWidth="1"/>
    <col min="22" max="22" width="36" customWidth="1"/>
    <col min="23" max="28" width="14" customWidth="1"/>
    <col min="29" max="29" width="8.83203125" customWidth="1"/>
    <col min="30" max="16384" width="8.83203125" hidden="1"/>
  </cols>
  <sheetData>
    <row r="1" spans="1:29" ht="47" customHeight="1">
      <c r="A1" s="132" t="s">
        <v>267</v>
      </c>
      <c r="B1" s="143"/>
      <c r="C1" s="143"/>
      <c r="D1" s="143"/>
      <c r="E1" s="143"/>
      <c r="F1" s="143"/>
      <c r="G1" s="143"/>
      <c r="H1" s="23"/>
      <c r="I1" s="23"/>
      <c r="J1" s="23"/>
      <c r="K1" s="23"/>
      <c r="L1" s="23"/>
      <c r="M1" s="23"/>
      <c r="N1" s="23"/>
      <c r="O1" s="23"/>
      <c r="P1" s="23"/>
      <c r="Q1" s="22"/>
      <c r="R1" s="22"/>
      <c r="S1" s="22"/>
      <c r="T1" s="22"/>
      <c r="U1" s="22"/>
      <c r="V1" s="22"/>
      <c r="W1" s="22"/>
      <c r="X1" s="22"/>
      <c r="Y1" s="22"/>
      <c r="Z1" s="22"/>
      <c r="AA1" s="23"/>
      <c r="AB1" s="23"/>
      <c r="AC1" s="23"/>
    </row>
    <row r="2" spans="1:29" ht="15">
      <c r="A2" s="34" t="s">
        <v>268</v>
      </c>
      <c r="B2" s="144"/>
      <c r="C2" s="145"/>
      <c r="D2" s="144"/>
      <c r="E2" s="146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</row>
    <row r="3" spans="1:29"/>
    <row r="4" spans="1:29" ht="15">
      <c r="A4" t="s">
        <v>11</v>
      </c>
      <c r="B4" s="32" t="s">
        <v>269</v>
      </c>
      <c r="C4" s="29"/>
      <c r="D4" s="30"/>
      <c r="E4" s="29"/>
      <c r="F4" s="31"/>
      <c r="G4" s="28"/>
      <c r="H4" s="28"/>
      <c r="I4" s="1"/>
      <c r="J4" s="42" t="s">
        <v>270</v>
      </c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1"/>
      <c r="W4" s="1"/>
      <c r="X4" s="1"/>
      <c r="Y4" s="1"/>
      <c r="Z4" s="1"/>
      <c r="AA4" s="1"/>
    </row>
    <row r="5" spans="1:29" s="68" customFormat="1" ht="15" customHeight="1">
      <c r="B5" s="96" t="s">
        <v>14</v>
      </c>
      <c r="C5" s="97" t="s">
        <v>271</v>
      </c>
      <c r="D5" s="98" t="s">
        <v>272</v>
      </c>
      <c r="E5" s="99" t="s">
        <v>273</v>
      </c>
      <c r="F5" s="99" t="s">
        <v>274</v>
      </c>
      <c r="G5" s="96" t="s">
        <v>275</v>
      </c>
      <c r="H5" s="96" t="s">
        <v>276</v>
      </c>
      <c r="I5" s="67"/>
      <c r="J5" s="66" t="s">
        <v>277</v>
      </c>
      <c r="K5" s="66"/>
      <c r="L5" s="66"/>
      <c r="M5" s="66"/>
      <c r="N5" s="66"/>
      <c r="O5" s="66"/>
      <c r="P5" s="66" t="s">
        <v>278</v>
      </c>
      <c r="Q5" s="66"/>
      <c r="R5" s="66"/>
      <c r="S5" s="66"/>
      <c r="T5" s="66"/>
      <c r="U5" s="66"/>
      <c r="V5" s="67"/>
      <c r="W5" s="67"/>
      <c r="X5" s="67"/>
      <c r="Y5" s="67"/>
      <c r="Z5" s="67"/>
      <c r="AA5" s="67"/>
    </row>
    <row r="6" spans="1:29" s="68" customFormat="1" ht="15" customHeight="1">
      <c r="B6" s="69" t="s">
        <v>55</v>
      </c>
      <c r="C6" s="70" t="s">
        <v>279</v>
      </c>
      <c r="D6" s="71" t="s">
        <v>280</v>
      </c>
      <c r="E6" s="72" t="s">
        <v>281</v>
      </c>
      <c r="F6" s="72" t="s">
        <v>281</v>
      </c>
      <c r="G6" s="69" t="s">
        <v>282</v>
      </c>
      <c r="H6" s="69" t="s">
        <v>283</v>
      </c>
      <c r="I6" s="67"/>
      <c r="J6" s="65" t="s">
        <v>284</v>
      </c>
      <c r="K6" s="55" t="s">
        <v>285</v>
      </c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/>
    </row>
    <row r="7" spans="1:29" s="68" customFormat="1" ht="15" customHeight="1">
      <c r="B7" s="69" t="s">
        <v>71</v>
      </c>
      <c r="C7" s="70" t="s">
        <v>286</v>
      </c>
      <c r="D7" s="71" t="s">
        <v>287</v>
      </c>
      <c r="E7" s="72" t="s">
        <v>281</v>
      </c>
      <c r="F7" s="72" t="s">
        <v>281</v>
      </c>
      <c r="G7" s="69" t="s">
        <v>288</v>
      </c>
      <c r="H7" s="69" t="s">
        <v>289</v>
      </c>
      <c r="I7" s="67"/>
      <c r="J7" s="65" t="s">
        <v>290</v>
      </c>
      <c r="K7" s="64" t="s">
        <v>291</v>
      </c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  <c r="X7" s="67"/>
      <c r="Y7" s="67"/>
      <c r="Z7" s="67"/>
      <c r="AA7" s="67"/>
    </row>
    <row r="8" spans="1:29" s="68" customFormat="1" ht="15" customHeight="1">
      <c r="B8" s="69" t="s">
        <v>45</v>
      </c>
      <c r="C8" s="70" t="s">
        <v>286</v>
      </c>
      <c r="D8" s="71" t="s">
        <v>287</v>
      </c>
      <c r="E8" s="72" t="s">
        <v>281</v>
      </c>
      <c r="F8" s="72" t="s">
        <v>281</v>
      </c>
      <c r="G8" s="69" t="s">
        <v>292</v>
      </c>
      <c r="H8" s="69" t="s">
        <v>293</v>
      </c>
      <c r="I8" s="67"/>
      <c r="J8" s="65" t="s">
        <v>294</v>
      </c>
      <c r="K8" s="55" t="s">
        <v>295</v>
      </c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67"/>
      <c r="Y8" s="67"/>
      <c r="Z8" s="67"/>
      <c r="AA8" s="67"/>
    </row>
    <row r="9" spans="1:29" s="68" customFormat="1" ht="15" customHeight="1">
      <c r="B9" s="69" t="s">
        <v>78</v>
      </c>
      <c r="C9" s="70" t="s">
        <v>296</v>
      </c>
      <c r="D9" s="71" t="s">
        <v>297</v>
      </c>
      <c r="E9" s="72" t="s">
        <v>281</v>
      </c>
      <c r="F9" s="72" t="s">
        <v>281</v>
      </c>
      <c r="G9" s="69" t="s">
        <v>298</v>
      </c>
      <c r="H9" s="69" t="s">
        <v>299</v>
      </c>
      <c r="I9" s="67"/>
      <c r="J9" s="65" t="s">
        <v>300</v>
      </c>
      <c r="K9" s="64" t="s">
        <v>301</v>
      </c>
      <c r="L9" s="67"/>
      <c r="M9" s="67"/>
      <c r="N9" s="67"/>
      <c r="O9" s="67"/>
      <c r="P9" s="67"/>
      <c r="Q9" s="67"/>
      <c r="R9" s="67"/>
      <c r="S9" s="67"/>
      <c r="T9" s="67"/>
      <c r="U9" s="67"/>
      <c r="V9" s="67"/>
      <c r="W9" s="67"/>
      <c r="X9" s="67"/>
      <c r="Y9" s="67"/>
      <c r="Z9" s="67"/>
      <c r="AA9" s="67"/>
    </row>
    <row r="10" spans="1:29" s="68" customFormat="1" ht="15" customHeight="1">
      <c r="B10" s="69" t="s">
        <v>62</v>
      </c>
      <c r="C10" s="70" t="s">
        <v>302</v>
      </c>
      <c r="D10" s="71" t="s">
        <v>303</v>
      </c>
      <c r="E10" s="72" t="s">
        <v>281</v>
      </c>
      <c r="F10" s="72" t="s">
        <v>281</v>
      </c>
      <c r="G10" s="69" t="s">
        <v>304</v>
      </c>
      <c r="H10" s="69" t="s">
        <v>305</v>
      </c>
      <c r="I10" s="67"/>
      <c r="J10" s="65" t="s">
        <v>306</v>
      </c>
      <c r="K10" s="55" t="s">
        <v>307</v>
      </c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7"/>
      <c r="X10" s="67"/>
      <c r="Y10" s="67"/>
      <c r="Z10" s="67"/>
      <c r="AA10" s="67"/>
    </row>
    <row r="11" spans="1:29" s="68" customFormat="1" ht="15" customHeight="1">
      <c r="B11" s="69" t="s">
        <v>91</v>
      </c>
      <c r="C11" s="70" t="s">
        <v>286</v>
      </c>
      <c r="D11" s="71" t="s">
        <v>308</v>
      </c>
      <c r="E11" s="69" t="s">
        <v>309</v>
      </c>
      <c r="F11" s="72" t="s">
        <v>281</v>
      </c>
      <c r="G11" s="69" t="s">
        <v>310</v>
      </c>
      <c r="H11" s="69" t="s">
        <v>311</v>
      </c>
      <c r="I11" s="67"/>
      <c r="J11" s="67"/>
      <c r="K11" s="67"/>
      <c r="L11" s="67"/>
      <c r="M11" s="67"/>
      <c r="N11" s="67"/>
      <c r="O11" s="67"/>
      <c r="P11" s="67"/>
      <c r="Q11" s="67"/>
      <c r="R11" s="67"/>
      <c r="S11" s="67"/>
      <c r="T11" s="67"/>
      <c r="U11" s="67"/>
      <c r="V11" s="67"/>
      <c r="W11" s="67"/>
      <c r="X11" s="67"/>
      <c r="Y11" s="67"/>
      <c r="Z11" s="67"/>
      <c r="AA11" s="67"/>
    </row>
    <row r="12" spans="1:29" s="68" customFormat="1" ht="15" customHeight="1">
      <c r="B12" s="69" t="s">
        <v>85</v>
      </c>
      <c r="C12" s="70" t="s">
        <v>296</v>
      </c>
      <c r="D12" s="71" t="s">
        <v>297</v>
      </c>
      <c r="E12" s="69" t="s">
        <v>309</v>
      </c>
      <c r="F12" s="72" t="s">
        <v>281</v>
      </c>
      <c r="G12" s="69" t="s">
        <v>312</v>
      </c>
      <c r="H12" s="69" t="s">
        <v>313</v>
      </c>
      <c r="I12" s="67"/>
      <c r="J12" s="67"/>
      <c r="K12" s="67"/>
      <c r="L12" s="67"/>
      <c r="M12" s="67"/>
      <c r="N12" s="67"/>
      <c r="O12" s="67"/>
      <c r="P12" s="67"/>
      <c r="Q12" s="67"/>
      <c r="R12" s="67"/>
      <c r="S12" s="67"/>
      <c r="T12" s="67"/>
      <c r="U12" s="67"/>
      <c r="V12" s="67"/>
      <c r="W12" s="67"/>
      <c r="X12" s="67"/>
      <c r="Y12" s="67"/>
      <c r="Z12" s="67"/>
      <c r="AA12" s="67"/>
    </row>
    <row r="13" spans="1:29" s="68" customFormat="1" ht="15" customHeight="1">
      <c r="B13" s="69" t="s">
        <v>174</v>
      </c>
      <c r="C13" s="69" t="s">
        <v>314</v>
      </c>
      <c r="D13" s="69" t="s">
        <v>315</v>
      </c>
      <c r="E13" s="69" t="s">
        <v>309</v>
      </c>
      <c r="F13" s="69" t="s">
        <v>309</v>
      </c>
      <c r="G13" s="69" t="s">
        <v>316</v>
      </c>
      <c r="H13" s="69" t="s">
        <v>317</v>
      </c>
      <c r="I13" s="67"/>
      <c r="J13" s="67"/>
      <c r="K13" s="67"/>
      <c r="L13" s="67"/>
      <c r="M13" s="67"/>
      <c r="N13" s="67"/>
      <c r="O13" s="67"/>
      <c r="P13" s="67"/>
      <c r="Q13" s="67"/>
      <c r="R13" s="67"/>
      <c r="S13" s="67"/>
      <c r="T13" s="67"/>
      <c r="U13" s="67"/>
      <c r="V13" s="67"/>
      <c r="W13" s="67"/>
      <c r="X13" s="67"/>
      <c r="Y13" s="67"/>
      <c r="Z13" s="67"/>
      <c r="AA13" s="67"/>
    </row>
    <row r="14" spans="1:29" s="68" customFormat="1" ht="15" customHeight="1">
      <c r="B14" s="69" t="s">
        <v>97</v>
      </c>
      <c r="C14" s="69" t="s">
        <v>318</v>
      </c>
      <c r="D14" s="69" t="s">
        <v>319</v>
      </c>
      <c r="E14" s="69" t="s">
        <v>309</v>
      </c>
      <c r="F14" s="69" t="s">
        <v>309</v>
      </c>
      <c r="G14" s="69" t="s">
        <v>320</v>
      </c>
      <c r="H14" s="69" t="s">
        <v>321</v>
      </c>
      <c r="I14" s="67"/>
      <c r="J14" s="67"/>
      <c r="K14" s="67"/>
      <c r="L14" s="67"/>
      <c r="M14" s="67"/>
      <c r="N14" s="67"/>
      <c r="O14" s="67"/>
      <c r="P14" s="67"/>
      <c r="Q14" s="67"/>
      <c r="R14" s="67"/>
      <c r="S14" s="67"/>
      <c r="T14" s="67"/>
      <c r="U14" s="67"/>
      <c r="V14" s="67"/>
      <c r="W14" s="67"/>
      <c r="X14" s="67"/>
      <c r="Y14" s="67"/>
      <c r="Z14" s="67"/>
      <c r="AA14" s="67"/>
    </row>
    <row r="15" spans="1:29" s="68" customFormat="1" ht="15" customHeight="1">
      <c r="B15" s="69" t="s">
        <v>109</v>
      </c>
      <c r="C15" s="69" t="s">
        <v>322</v>
      </c>
      <c r="D15" s="69" t="s">
        <v>323</v>
      </c>
      <c r="E15" s="69" t="s">
        <v>309</v>
      </c>
      <c r="F15" s="69" t="s">
        <v>309</v>
      </c>
      <c r="G15" s="69" t="s">
        <v>324</v>
      </c>
      <c r="H15" s="69" t="s">
        <v>325</v>
      </c>
      <c r="I15" s="67"/>
      <c r="J15" s="67"/>
      <c r="K15" s="67"/>
      <c r="L15" s="67"/>
      <c r="M15" s="67"/>
      <c r="N15" s="67"/>
      <c r="O15" s="67"/>
      <c r="P15" s="67"/>
      <c r="Q15" s="67"/>
      <c r="R15" s="67"/>
      <c r="S15" s="67"/>
      <c r="T15" s="67"/>
      <c r="U15" s="67"/>
      <c r="V15" s="67"/>
      <c r="W15" s="67"/>
      <c r="X15" s="67"/>
      <c r="Y15" s="67"/>
      <c r="Z15" s="67"/>
      <c r="AA15" s="67"/>
    </row>
    <row r="16" spans="1:29" s="68" customFormat="1" ht="15" customHeight="1">
      <c r="B16" s="69" t="s">
        <v>205</v>
      </c>
      <c r="C16" s="69" t="s">
        <v>326</v>
      </c>
      <c r="D16" s="69" t="s">
        <v>327</v>
      </c>
      <c r="E16" s="69" t="s">
        <v>328</v>
      </c>
      <c r="F16" s="69" t="s">
        <v>309</v>
      </c>
      <c r="G16" s="69" t="s">
        <v>329</v>
      </c>
      <c r="H16" s="69" t="s">
        <v>330</v>
      </c>
      <c r="I16" s="67"/>
      <c r="J16" s="67"/>
      <c r="K16" s="67"/>
      <c r="L16" s="67"/>
      <c r="M16" s="67"/>
      <c r="N16" s="67"/>
      <c r="O16" s="67"/>
      <c r="P16" s="67"/>
      <c r="Q16" s="67"/>
      <c r="R16" s="67"/>
      <c r="S16" s="67"/>
      <c r="T16" s="67"/>
      <c r="U16" s="67"/>
      <c r="V16" s="67"/>
      <c r="W16" s="67"/>
      <c r="X16" s="67"/>
      <c r="Y16" s="67"/>
      <c r="Z16" s="67"/>
      <c r="AA16" s="67"/>
    </row>
    <row r="17" spans="1:27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15">
      <c r="A18" t="s">
        <v>11</v>
      </c>
      <c r="B18" s="32" t="s">
        <v>331</v>
      </c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33" customHeight="1">
      <c r="B19" s="101" t="s">
        <v>14</v>
      </c>
      <c r="C19" s="101" t="s">
        <v>332</v>
      </c>
      <c r="D19" s="101" t="s">
        <v>238</v>
      </c>
      <c r="E19" s="101" t="s">
        <v>333</v>
      </c>
      <c r="F19" s="101" t="s">
        <v>334</v>
      </c>
      <c r="G19" s="101" t="s">
        <v>335</v>
      </c>
      <c r="H19" s="101" t="s">
        <v>336</v>
      </c>
      <c r="I19" s="101" t="s">
        <v>337</v>
      </c>
      <c r="J19" s="101" t="s">
        <v>338</v>
      </c>
      <c r="K19" s="101" t="s">
        <v>339</v>
      </c>
      <c r="L19" s="101" t="s">
        <v>340</v>
      </c>
      <c r="M19" s="101" t="s">
        <v>341</v>
      </c>
      <c r="N19" s="101" t="s">
        <v>342</v>
      </c>
      <c r="O19" s="101" t="s">
        <v>343</v>
      </c>
      <c r="P19" s="101" t="s">
        <v>344</v>
      </c>
      <c r="Q19" s="101" t="s">
        <v>345</v>
      </c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15">
      <c r="B20" s="4" t="str">
        <f t="shared" ref="B20:B30" si="0">B6</f>
        <v>Oil &amp; Gas</v>
      </c>
      <c r="C20" s="5">
        <f>SUMIF('03_Financed_Emissions'!$D$6:$D$65,B20,'03_Financed_Emissions'!$E$6:$E$65)</f>
        <v>640</v>
      </c>
      <c r="D20" s="5">
        <f>SUMIF('03_Financed_Emissions'!$D$6:$D$65,B20,'03_Financed_Emissions'!$L$6:$L$65)</f>
        <v>1649.9981563476774</v>
      </c>
      <c r="E20" s="5">
        <f t="shared" ref="E20:E30" si="1">D20*1000/C20</f>
        <v>2578.1221192932458</v>
      </c>
      <c r="F20" s="12">
        <f t="shared" ref="F20:F30" si="2">D20/SUM($D$20:$D$30)</f>
        <v>0.20370355829552153</v>
      </c>
      <c r="G20" s="12">
        <f>(SUMIFS('01_Portfolio_Input'!$I$6:$I$65,'01_Portfolio_Input'!$D$6:$D$65,B20,'01_Portfolio_Input'!$Z$6:$Z$65,"Credible transition plan")+SUMIFS('01_Portfolio_Input'!$I$6:$I$65,'01_Portfolio_Input'!$D$6:$D$65,B20,'01_Portfolio_Input'!$Z$6:$Z$65,"Partial transition plan"))/C20</f>
        <v>0</v>
      </c>
      <c r="H20" s="12">
        <f>(SUMIFS('01_Portfolio_Input'!$I$6:$I$65,'01_Portfolio_Input'!$D$6:$D$65,B20,'01_Portfolio_Input'!$AA$6:$AA$65,"Synthetic SBT-style target")+SUMIFS('01_Portfolio_Input'!$I$6:$I$65,'01_Portfolio_Input'!$D$6:$D$65,B20,'01_Portfolio_Input'!$AA$6:$AA$65,"Target under development"))/C20</f>
        <v>0</v>
      </c>
      <c r="I20" s="45">
        <f>SUMPRODUCT(--('01_Portfolio_Input'!$D$6:$D$65=B20),'01_Portfolio_Input'!$I$6:$I$65,'01_Portfolio_Input'!$W$6:$W$65)/C20</f>
        <v>3.390625</v>
      </c>
      <c r="J20" s="12">
        <f t="shared" ref="J20:J30" si="3">(5-I20)/4</f>
        <v>0.40234375</v>
      </c>
      <c r="K20" s="12">
        <f>SUMIFS('01_Portfolio_Input'!$I$6:$I$65,'01_Portfolio_Input'!$D$6:$D$65,B20,'01_Portfolio_Input'!$H$6:$H$65,"&lt;=2026")/C20</f>
        <v>0</v>
      </c>
      <c r="L20" s="12">
        <f>SUMIFS('01_Portfolio_Input'!$I$6:$I$65,'01_Portfolio_Input'!$D$6:$D$65,B20,'01_Portfolio_Input'!$H$6:$H$65,"&lt;=2030")/C20</f>
        <v>0</v>
      </c>
      <c r="M20" s="12">
        <f>SUMIFS('01_Portfolio_Input'!$I$6:$I$65,'01_Portfolio_Input'!$D$6:$D$65,B20,'01_Portfolio_Input'!$H$6:$H$65,"&gt;2030")/C20</f>
        <v>1</v>
      </c>
      <c r="N20" s="12">
        <f>SUMIFS('01_Portfolio_Input'!$I$6:$I$65,'01_Portfolio_Input'!$D$6:$D$65,B20,'01_Portfolio_Input'!$H$6:$H$65,"&gt;2040")/C20</f>
        <v>0.7578125</v>
      </c>
      <c r="O20" s="12">
        <f>SUMPRODUCT(--('01_Portfolio_Input'!$D$6:$D$65=B20),'01_Portfolio_Input'!$I$6:$I$65,'01_Portfolio_Input'!$AB$6:$AB$65)/C20/100</f>
        <v>0.05</v>
      </c>
      <c r="P20" s="12">
        <f>SUMPRODUCT(--('01_Portfolio_Input'!$D$6:$D$65=B20),'01_Portfolio_Input'!$I$6:$I$65,'01_Portfolio_Input'!$AC$6:$AC$65)/C20/100</f>
        <v>0.35</v>
      </c>
      <c r="Q20" s="12">
        <f>SUMIFS('01_Portfolio_Input'!$I$6:$I$65,'01_Portfolio_Input'!$D$6:$D$65,B20,'01_Portfolio_Input'!$AD$6:$AD$65,TRUE)/C20</f>
        <v>1</v>
      </c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5">
      <c r="B21" s="4" t="str">
        <f t="shared" si="0"/>
        <v>Cement</v>
      </c>
      <c r="C21" s="5">
        <f>SUMIF('03_Financed_Emissions'!$D$6:$D$65,B21,'03_Financed_Emissions'!$E$6:$E$65)</f>
        <v>310</v>
      </c>
      <c r="D21" s="5">
        <f>SUMIF('03_Financed_Emissions'!$D$6:$D$65,B21,'03_Financed_Emissions'!$L$6:$L$65)</f>
        <v>779.99693262567428</v>
      </c>
      <c r="E21" s="5">
        <f t="shared" si="1"/>
        <v>2516.1191375021754</v>
      </c>
      <c r="F21" s="12">
        <f t="shared" si="2"/>
        <v>9.6295956467700491E-2</v>
      </c>
      <c r="G21" s="12">
        <f>(SUMIFS('01_Portfolio_Input'!$I$6:$I$65,'01_Portfolio_Input'!$D$6:$D$65,B21,'01_Portfolio_Input'!$Z$6:$Z$65,"Credible transition plan")+SUMIFS('01_Portfolio_Input'!$I$6:$I$65,'01_Portfolio_Input'!$D$6:$D$65,B21,'01_Portfolio_Input'!$Z$6:$Z$65,"Partial transition plan"))/C21</f>
        <v>6.4516129032258063E-2</v>
      </c>
      <c r="H21" s="12">
        <f>(SUMIFS('01_Portfolio_Input'!$I$6:$I$65,'01_Portfolio_Input'!$D$6:$D$65,B21,'01_Portfolio_Input'!$AA$6:$AA$65,"Synthetic SBT-style target")+SUMIFS('01_Portfolio_Input'!$I$6:$I$65,'01_Portfolio_Input'!$D$6:$D$65,B21,'01_Portfolio_Input'!$AA$6:$AA$65,"Target under development"))/C21</f>
        <v>0.12903225806451613</v>
      </c>
      <c r="I21" s="45">
        <f>SUMPRODUCT(--('01_Portfolio_Input'!$D$6:$D$65=B21),'01_Portfolio_Input'!$I$6:$I$65,'01_Portfolio_Input'!$W$6:$W$65)/C21</f>
        <v>3.4193548387096775</v>
      </c>
      <c r="J21" s="12">
        <f t="shared" si="3"/>
        <v>0.39516129032258063</v>
      </c>
      <c r="K21" s="12">
        <f>SUMIFS('01_Portfolio_Input'!$I$6:$I$65,'01_Portfolio_Input'!$D$6:$D$65,B21,'01_Portfolio_Input'!$H$6:$H$65,"&lt;=2026")/C21</f>
        <v>0</v>
      </c>
      <c r="L21" s="12">
        <f>SUMIFS('01_Portfolio_Input'!$I$6:$I$65,'01_Portfolio_Input'!$D$6:$D$65,B21,'01_Portfolio_Input'!$H$6:$H$65,"&lt;=2030")/C21</f>
        <v>6.4516129032258063E-2</v>
      </c>
      <c r="M21" s="12">
        <f>SUMIFS('01_Portfolio_Input'!$I$6:$I$65,'01_Portfolio_Input'!$D$6:$D$65,B21,'01_Portfolio_Input'!$H$6:$H$65,"&gt;2030")/C21</f>
        <v>0.93548387096774188</v>
      </c>
      <c r="N21" s="12">
        <f>SUMIFS('01_Portfolio_Input'!$I$6:$I$65,'01_Portfolio_Input'!$D$6:$D$65,B21,'01_Portfolio_Input'!$H$6:$H$65,"&gt;2040")/C21</f>
        <v>0.4838709677419355</v>
      </c>
      <c r="O21" s="12">
        <f>SUMPRODUCT(--('01_Portfolio_Input'!$D$6:$D$65=B21),'01_Portfolio_Input'!$I$6:$I$65,'01_Portfolio_Input'!$AB$6:$AB$65)/C21/100</f>
        <v>8.4193548387096778E-2</v>
      </c>
      <c r="P21" s="12">
        <f>SUMPRODUCT(--('01_Portfolio_Input'!$D$6:$D$65=B21),'01_Portfolio_Input'!$I$6:$I$65,'01_Portfolio_Input'!$AC$6:$AC$65)/C21/100</f>
        <v>0.10709677419354838</v>
      </c>
      <c r="Q21" s="12">
        <f>SUMIFS('01_Portfolio_Input'!$I$6:$I$65,'01_Portfolio_Input'!$D$6:$D$65,B21,'01_Portfolio_Input'!$AD$6:$AD$65,TRUE)/C21</f>
        <v>1</v>
      </c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15">
      <c r="B22" s="4" t="str">
        <f t="shared" si="0"/>
        <v>Steel</v>
      </c>
      <c r="C22" s="5">
        <f>SUMIF('03_Financed_Emissions'!$D$6:$D$65,B22,'03_Financed_Emissions'!$E$6:$E$65)</f>
        <v>390</v>
      </c>
      <c r="D22" s="5">
        <f>SUMIF('03_Financed_Emissions'!$D$6:$D$65,B22,'03_Financed_Emissions'!$L$6:$L$65)</f>
        <v>989.99948091063152</v>
      </c>
      <c r="E22" s="5">
        <f t="shared" si="1"/>
        <v>2538.4602074631575</v>
      </c>
      <c r="F22" s="12">
        <f t="shared" si="2"/>
        <v>0.12222220745907365</v>
      </c>
      <c r="G22" s="12">
        <f>(SUMIFS('01_Portfolio_Input'!$I$6:$I$65,'01_Portfolio_Input'!$D$6:$D$65,B22,'01_Portfolio_Input'!$Z$6:$Z$65,"Credible transition plan")+SUMIFS('01_Portfolio_Input'!$I$6:$I$65,'01_Portfolio_Input'!$D$6:$D$65,B22,'01_Portfolio_Input'!$Z$6:$Z$65,"Partial transition plan"))/C22</f>
        <v>0</v>
      </c>
      <c r="H22" s="12">
        <f>(SUMIFS('01_Portfolio_Input'!$I$6:$I$65,'01_Portfolio_Input'!$D$6:$D$65,B22,'01_Portfolio_Input'!$AA$6:$AA$65,"Synthetic SBT-style target")+SUMIFS('01_Portfolio_Input'!$I$6:$I$65,'01_Portfolio_Input'!$D$6:$D$65,B22,'01_Portfolio_Input'!$AA$6:$AA$65,"Target under development"))/C22</f>
        <v>0</v>
      </c>
      <c r="I22" s="45">
        <f>SUMPRODUCT(--('01_Portfolio_Input'!$D$6:$D$65=B22),'01_Portfolio_Input'!$I$6:$I$65,'01_Portfolio_Input'!$W$6:$W$65)/C22</f>
        <v>3</v>
      </c>
      <c r="J22" s="12">
        <f t="shared" si="3"/>
        <v>0.5</v>
      </c>
      <c r="K22" s="12">
        <f>SUMIFS('01_Portfolio_Input'!$I$6:$I$65,'01_Portfolio_Input'!$D$6:$D$65,B22,'01_Portfolio_Input'!$H$6:$H$65,"&lt;=2026")/C22</f>
        <v>0</v>
      </c>
      <c r="L22" s="12">
        <f>SUMIFS('01_Portfolio_Input'!$I$6:$I$65,'01_Portfolio_Input'!$D$6:$D$65,B22,'01_Portfolio_Input'!$H$6:$H$65,"&lt;=2030")/C22</f>
        <v>0</v>
      </c>
      <c r="M22" s="12">
        <f>SUMIFS('01_Portfolio_Input'!$I$6:$I$65,'01_Portfolio_Input'!$D$6:$D$65,B22,'01_Portfolio_Input'!$H$6:$H$65,"&gt;2030")/C22</f>
        <v>1</v>
      </c>
      <c r="N22" s="12">
        <f>SUMIFS('01_Portfolio_Input'!$I$6:$I$65,'01_Portfolio_Input'!$D$6:$D$65,B22,'01_Portfolio_Input'!$H$6:$H$65,"&gt;2040")/C22</f>
        <v>0.14102564102564102</v>
      </c>
      <c r="O22" s="12">
        <f>SUMPRODUCT(--('01_Portfolio_Input'!$D$6:$D$65=B22),'01_Portfolio_Input'!$I$6:$I$65,'01_Portfolio_Input'!$AB$6:$AB$65)/C22/100</f>
        <v>0.05</v>
      </c>
      <c r="P22" s="12">
        <f>SUMPRODUCT(--('01_Portfolio_Input'!$D$6:$D$65=B22),'01_Portfolio_Input'!$I$6:$I$65,'01_Portfolio_Input'!$AC$6:$AC$65)/C22/100</f>
        <v>0.12</v>
      </c>
      <c r="Q22" s="12">
        <f>SUMIFS('01_Portfolio_Input'!$I$6:$I$65,'01_Portfolio_Input'!$D$6:$D$65,B22,'01_Portfolio_Input'!$AD$6:$AD$65,TRUE)/C22</f>
        <v>1</v>
      </c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5">
      <c r="B23" s="4" t="str">
        <f t="shared" si="0"/>
        <v>Aviation</v>
      </c>
      <c r="C23" s="5">
        <f>SUMIF('03_Financed_Emissions'!$D$6:$D$65,B23,'03_Financed_Emissions'!$E$6:$E$65)</f>
        <v>335</v>
      </c>
      <c r="D23" s="5">
        <f>SUMIF('03_Financed_Emissions'!$D$6:$D$65,B23,'03_Financed_Emissions'!$L$6:$L$65)</f>
        <v>630.00120424864235</v>
      </c>
      <c r="E23" s="5">
        <f t="shared" si="1"/>
        <v>1880.6006096974397</v>
      </c>
      <c r="F23" s="12">
        <f t="shared" si="2"/>
        <v>7.7777957837227088E-2</v>
      </c>
      <c r="G23" s="12">
        <f>(SUMIFS('01_Portfolio_Input'!$I$6:$I$65,'01_Portfolio_Input'!$D$6:$D$65,B23,'01_Portfolio_Input'!$Z$6:$Z$65,"Credible transition plan")+SUMIFS('01_Portfolio_Input'!$I$6:$I$65,'01_Portfolio_Input'!$D$6:$D$65,B23,'01_Portfolio_Input'!$Z$6:$Z$65,"Partial transition plan"))/C23</f>
        <v>5.9701492537313432E-2</v>
      </c>
      <c r="H23" s="12">
        <f>(SUMIFS('01_Portfolio_Input'!$I$6:$I$65,'01_Portfolio_Input'!$D$6:$D$65,B23,'01_Portfolio_Input'!$AA$6:$AA$65,"Synthetic SBT-style target")+SUMIFS('01_Portfolio_Input'!$I$6:$I$65,'01_Portfolio_Input'!$D$6:$D$65,B23,'01_Portfolio_Input'!$AA$6:$AA$65,"Target under development"))/C23</f>
        <v>0.14925373134328357</v>
      </c>
      <c r="I23" s="45">
        <f>SUMPRODUCT(--('01_Portfolio_Input'!$D$6:$D$65=B23),'01_Portfolio_Input'!$I$6:$I$65,'01_Portfolio_Input'!$W$6:$W$65)/C23</f>
        <v>3.7910447761194028</v>
      </c>
      <c r="J23" s="12">
        <f t="shared" si="3"/>
        <v>0.30223880597014929</v>
      </c>
      <c r="K23" s="12">
        <f>SUMIFS('01_Portfolio_Input'!$I$6:$I$65,'01_Portfolio_Input'!$D$6:$D$65,B23,'01_Portfolio_Input'!$H$6:$H$65,"&lt;=2026")/C23</f>
        <v>0</v>
      </c>
      <c r="L23" s="12">
        <f>SUMIFS('01_Portfolio_Input'!$I$6:$I$65,'01_Portfolio_Input'!$D$6:$D$65,B23,'01_Portfolio_Input'!$H$6:$H$65,"&lt;=2030")/C23</f>
        <v>5.9701492537313432E-2</v>
      </c>
      <c r="M23" s="12">
        <f>SUMIFS('01_Portfolio_Input'!$I$6:$I$65,'01_Portfolio_Input'!$D$6:$D$65,B23,'01_Portfolio_Input'!$H$6:$H$65,"&gt;2030")/C23</f>
        <v>0.94029850746268662</v>
      </c>
      <c r="N23" s="12">
        <f>SUMIFS('01_Portfolio_Input'!$I$6:$I$65,'01_Portfolio_Input'!$D$6:$D$65,B23,'01_Portfolio_Input'!$H$6:$H$65,"&gt;2040")/C23</f>
        <v>0.40298507462686567</v>
      </c>
      <c r="O23" s="12">
        <f>SUMPRODUCT(--('01_Portfolio_Input'!$D$6:$D$65=B23),'01_Portfolio_Input'!$I$6:$I$65,'01_Portfolio_Input'!$AB$6:$AB$65)/C23/100</f>
        <v>8.5522388059701485E-2</v>
      </c>
      <c r="P23" s="12">
        <f>SUMPRODUCT(--('01_Portfolio_Input'!$D$6:$D$65=B23),'01_Portfolio_Input'!$I$6:$I$65,'01_Portfolio_Input'!$AC$6:$AC$65)/C23/100</f>
        <v>0.10507462686567165</v>
      </c>
      <c r="Q23" s="12">
        <f>SUMIFS('01_Portfolio_Input'!$I$6:$I$65,'01_Portfolio_Input'!$D$6:$D$65,B23,'01_Portfolio_Input'!$AD$6:$AD$65,TRUE)/C23</f>
        <v>1</v>
      </c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15">
      <c r="B24" s="4" t="str">
        <f t="shared" si="0"/>
        <v>Power &amp; Utilities</v>
      </c>
      <c r="C24" s="5">
        <f>SUMIF('03_Financed_Emissions'!$D$6:$D$65,B24,'03_Financed_Emissions'!$E$6:$E$65)</f>
        <v>720</v>
      </c>
      <c r="D24" s="5">
        <f>SUMIF('03_Financed_Emissions'!$D$6:$D$65,B24,'03_Financed_Emissions'!$L$6:$L$65)</f>
        <v>1420.0050758834684</v>
      </c>
      <c r="E24" s="5">
        <f t="shared" si="1"/>
        <v>1972.2292720603728</v>
      </c>
      <c r="F24" s="12">
        <f t="shared" si="2"/>
        <v>0.17530933937250623</v>
      </c>
      <c r="G24" s="12">
        <f>(SUMIFS('01_Portfolio_Input'!$I$6:$I$65,'01_Portfolio_Input'!$D$6:$D$65,B24,'01_Portfolio_Input'!$Z$6:$Z$65,"Credible transition plan")+SUMIFS('01_Portfolio_Input'!$I$6:$I$65,'01_Portfolio_Input'!$D$6:$D$65,B24,'01_Portfolio_Input'!$Z$6:$Z$65,"Partial transition plan"))/C24</f>
        <v>0.66599999999999993</v>
      </c>
      <c r="H24" s="12">
        <f>(SUMIFS('01_Portfolio_Input'!$I$6:$I$65,'01_Portfolio_Input'!$D$6:$D$65,B24,'01_Portfolio_Input'!$AA$6:$AA$65,"Synthetic SBT-style target")+SUMIFS('01_Portfolio_Input'!$I$6:$I$65,'01_Portfolio_Input'!$D$6:$D$65,B24,'01_Portfolio_Input'!$AA$6:$AA$65,"Target under development"))/C24</f>
        <v>0.88511111111111107</v>
      </c>
      <c r="I24" s="45">
        <f>SUMPRODUCT(--('01_Portfolio_Input'!$D$6:$D$65=B24),'01_Portfolio_Input'!$I$6:$I$65,'01_Portfolio_Input'!$W$6:$W$65)/C24</f>
        <v>2.5331111111111113</v>
      </c>
      <c r="J24" s="12">
        <f t="shared" si="3"/>
        <v>0.61672222222222217</v>
      </c>
      <c r="K24" s="12">
        <f>SUMIFS('01_Portfolio_Input'!$I$6:$I$65,'01_Portfolio_Input'!$D$6:$D$65,B24,'01_Portfolio_Input'!$H$6:$H$65,"&lt;=2026")/C24</f>
        <v>0.40655555555555561</v>
      </c>
      <c r="L24" s="12">
        <f>SUMIFS('01_Portfolio_Input'!$I$6:$I$65,'01_Portfolio_Input'!$D$6:$D$65,B24,'01_Portfolio_Input'!$H$6:$H$65,"&lt;=2030")/C24</f>
        <v>0.85727777777777781</v>
      </c>
      <c r="M24" s="12">
        <f>SUMIFS('01_Portfolio_Input'!$I$6:$I$65,'01_Portfolio_Input'!$D$6:$D$65,B24,'01_Portfolio_Input'!$H$6:$H$65,"&gt;2030")/C24</f>
        <v>0.14272222222222222</v>
      </c>
      <c r="N24" s="12">
        <f>SUMIFS('01_Portfolio_Input'!$I$6:$I$65,'01_Portfolio_Input'!$D$6:$D$65,B24,'01_Portfolio_Input'!$H$6:$H$65,"&gt;2040")/C24</f>
        <v>0</v>
      </c>
      <c r="O24" s="12">
        <f>SUMPRODUCT(--('01_Portfolio_Input'!$D$6:$D$65=B24),'01_Portfolio_Input'!$I$6:$I$65,'01_Portfolio_Input'!$AB$6:$AB$65)/C24/100</f>
        <v>0.24339444444444441</v>
      </c>
      <c r="P24" s="12">
        <f>SUMPRODUCT(--('01_Portfolio_Input'!$D$6:$D$65=B24),'01_Portfolio_Input'!$I$6:$I$65,'01_Portfolio_Input'!$AC$6:$AC$65)/C24/100</f>
        <v>3.1488888888888886E-2</v>
      </c>
      <c r="Q24" s="12">
        <f>SUMIFS('01_Portfolio_Input'!$I$6:$I$65,'01_Portfolio_Input'!$D$6:$D$65,B24,'01_Portfolio_Input'!$AD$6:$AD$65,TRUE)/C24</f>
        <v>0</v>
      </c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5">
      <c r="B25" s="4" t="str">
        <f t="shared" si="0"/>
        <v>Chemicals</v>
      </c>
      <c r="C25" s="5">
        <f>SUMIF('03_Financed_Emissions'!$D$6:$D$65,B25,'03_Financed_Emissions'!$E$6:$E$65)</f>
        <v>460</v>
      </c>
      <c r="D25" s="5">
        <f>SUMIF('03_Financed_Emissions'!$D$6:$D$65,B25,'03_Financed_Emissions'!$L$6:$L$65)</f>
        <v>779.99590545696572</v>
      </c>
      <c r="E25" s="5">
        <f t="shared" si="1"/>
        <v>1695.6432727325341</v>
      </c>
      <c r="F25" s="12">
        <f t="shared" si="2"/>
        <v>9.629582965669764E-2</v>
      </c>
      <c r="G25" s="12">
        <f>(SUMIFS('01_Portfolio_Input'!$I$6:$I$65,'01_Portfolio_Input'!$D$6:$D$65,B25,'01_Portfolio_Input'!$Z$6:$Z$65,"Credible transition plan")+SUMIFS('01_Portfolio_Input'!$I$6:$I$65,'01_Portfolio_Input'!$D$6:$D$65,B25,'01_Portfolio_Input'!$Z$6:$Z$65,"Partial transition plan"))/C25</f>
        <v>1</v>
      </c>
      <c r="H25" s="12">
        <f>(SUMIFS('01_Portfolio_Input'!$I$6:$I$65,'01_Portfolio_Input'!$D$6:$D$65,B25,'01_Portfolio_Input'!$AA$6:$AA$65,"Synthetic SBT-style target")+SUMIFS('01_Portfolio_Input'!$I$6:$I$65,'01_Portfolio_Input'!$D$6:$D$65,B25,'01_Portfolio_Input'!$AA$6:$AA$65,"Target under development"))/C25</f>
        <v>1</v>
      </c>
      <c r="I25" s="45">
        <f>SUMPRODUCT(--('01_Portfolio_Input'!$D$6:$D$65=B25),'01_Portfolio_Input'!$I$6:$I$65,'01_Portfolio_Input'!$W$6:$W$65)/C25</f>
        <v>3</v>
      </c>
      <c r="J25" s="12">
        <f t="shared" si="3"/>
        <v>0.5</v>
      </c>
      <c r="K25" s="12">
        <f>SUMIFS('01_Portfolio_Input'!$I$6:$I$65,'01_Portfolio_Input'!$D$6:$D$65,B25,'01_Portfolio_Input'!$H$6:$H$65,"&lt;=2026")/C25</f>
        <v>0</v>
      </c>
      <c r="L25" s="12">
        <f>SUMIFS('01_Portfolio_Input'!$I$6:$I$65,'01_Portfolio_Input'!$D$6:$D$65,B25,'01_Portfolio_Input'!$H$6:$H$65,"&lt;=2030")/C25</f>
        <v>0.39130434782608697</v>
      </c>
      <c r="M25" s="12">
        <f>SUMIFS('01_Portfolio_Input'!$I$6:$I$65,'01_Portfolio_Input'!$D$6:$D$65,B25,'01_Portfolio_Input'!$H$6:$H$65,"&gt;2030")/C25</f>
        <v>0.60869565217391308</v>
      </c>
      <c r="N25" s="12">
        <f>SUMIFS('01_Portfolio_Input'!$I$6:$I$65,'01_Portfolio_Input'!$D$6:$D$65,B25,'01_Portfolio_Input'!$H$6:$H$65,"&gt;2040")/C25</f>
        <v>0</v>
      </c>
      <c r="O25" s="12">
        <f>SUMPRODUCT(--('01_Portfolio_Input'!$D$6:$D$65=B25),'01_Portfolio_Input'!$I$6:$I$65,'01_Portfolio_Input'!$AB$6:$AB$65)/C25/100</f>
        <v>0.18</v>
      </c>
      <c r="P25" s="12">
        <f>SUMPRODUCT(--('01_Portfolio_Input'!$D$6:$D$65=B25),'01_Portfolio_Input'!$I$6:$I$65,'01_Portfolio_Input'!$AC$6:$AC$65)/C25/100</f>
        <v>0.02</v>
      </c>
      <c r="Q25" s="12">
        <f>SUMIFS('01_Portfolio_Input'!$I$6:$I$65,'01_Portfolio_Input'!$D$6:$D$65,B25,'01_Portfolio_Input'!$AD$6:$AD$65,TRUE)/C25</f>
        <v>1</v>
      </c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5">
      <c r="B26" s="4" t="str">
        <f t="shared" si="0"/>
        <v>Shipping</v>
      </c>
      <c r="C26" s="5">
        <f>SUMIF('03_Financed_Emissions'!$D$6:$D$65,B26,'03_Financed_Emissions'!$E$6:$E$65)</f>
        <v>330</v>
      </c>
      <c r="D26" s="5">
        <f>SUMIF('03_Financed_Emissions'!$D$6:$D$65,B26,'03_Financed_Emissions'!$L$6:$L$65)</f>
        <v>519.99970400217978</v>
      </c>
      <c r="E26" s="5">
        <f t="shared" si="1"/>
        <v>1575.7566787944843</v>
      </c>
      <c r="F26" s="12">
        <f t="shared" si="2"/>
        <v>6.4197520227738933E-2</v>
      </c>
      <c r="G26" s="12">
        <f>(SUMIFS('01_Portfolio_Input'!$I$6:$I$65,'01_Portfolio_Input'!$D$6:$D$65,B26,'01_Portfolio_Input'!$Z$6:$Z$65,"Credible transition plan")+SUMIFS('01_Portfolio_Input'!$I$6:$I$65,'01_Portfolio_Input'!$D$6:$D$65,B26,'01_Portfolio_Input'!$Z$6:$Z$65,"Partial transition plan"))/C26</f>
        <v>1</v>
      </c>
      <c r="H26" s="12">
        <f>(SUMIFS('01_Portfolio_Input'!$I$6:$I$65,'01_Portfolio_Input'!$D$6:$D$65,B26,'01_Portfolio_Input'!$AA$6:$AA$65,"Synthetic SBT-style target")+SUMIFS('01_Portfolio_Input'!$I$6:$I$65,'01_Portfolio_Input'!$D$6:$D$65,B26,'01_Portfolio_Input'!$AA$6:$AA$65,"Target under development"))/C26</f>
        <v>1</v>
      </c>
      <c r="I26" s="45">
        <f>SUMPRODUCT(--('01_Portfolio_Input'!$D$6:$D$65=B26),'01_Portfolio_Input'!$I$6:$I$65,'01_Portfolio_Input'!$W$6:$W$65)/C26</f>
        <v>3</v>
      </c>
      <c r="J26" s="12">
        <f t="shared" si="3"/>
        <v>0.5</v>
      </c>
      <c r="K26" s="12">
        <f>SUMIFS('01_Portfolio_Input'!$I$6:$I$65,'01_Portfolio_Input'!$D$6:$D$65,B26,'01_Portfolio_Input'!$H$6:$H$65,"&lt;=2026")/C26</f>
        <v>0</v>
      </c>
      <c r="L26" s="12">
        <f>SUMIFS('01_Portfolio_Input'!$I$6:$I$65,'01_Portfolio_Input'!$D$6:$D$65,B26,'01_Portfolio_Input'!$H$6:$H$65,"&lt;=2030")/C26</f>
        <v>0.48484848484848486</v>
      </c>
      <c r="M26" s="12">
        <f>SUMIFS('01_Portfolio_Input'!$I$6:$I$65,'01_Portfolio_Input'!$D$6:$D$65,B26,'01_Portfolio_Input'!$H$6:$H$65,"&gt;2030")/C26</f>
        <v>0.51515151515151514</v>
      </c>
      <c r="N26" s="12">
        <f>SUMIFS('01_Portfolio_Input'!$I$6:$I$65,'01_Portfolio_Input'!$D$6:$D$65,B26,'01_Portfolio_Input'!$H$6:$H$65,"&gt;2040")/C26</f>
        <v>0</v>
      </c>
      <c r="O26" s="12">
        <f>SUMPRODUCT(--('01_Portfolio_Input'!$D$6:$D$65=B26),'01_Portfolio_Input'!$I$6:$I$65,'01_Portfolio_Input'!$AB$6:$AB$65)/C26/100</f>
        <v>0.18</v>
      </c>
      <c r="P26" s="12">
        <f>SUMPRODUCT(--('01_Portfolio_Input'!$D$6:$D$65=B26),'01_Portfolio_Input'!$I$6:$I$65,'01_Portfolio_Input'!$AC$6:$AC$65)/C26/100</f>
        <v>0.02</v>
      </c>
      <c r="Q26" s="12">
        <f>SUMIFS('01_Portfolio_Input'!$I$6:$I$65,'01_Portfolio_Input'!$D$6:$D$65,B26,'01_Portfolio_Input'!$AD$6:$AD$65,TRUE)/C26</f>
        <v>1</v>
      </c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5">
      <c r="B27" s="4" t="str">
        <f t="shared" si="0"/>
        <v>Automotive</v>
      </c>
      <c r="C27" s="5">
        <f>SUMIF('03_Financed_Emissions'!$D$6:$D$65,B27,'03_Financed_Emissions'!$E$6:$E$65)</f>
        <v>420</v>
      </c>
      <c r="D27" s="5">
        <f>SUMIF('03_Financed_Emissions'!$D$6:$D$65,B27,'03_Financed_Emissions'!$L$6:$L$65)</f>
        <v>460.00060655329071</v>
      </c>
      <c r="E27" s="5">
        <f t="shared" si="1"/>
        <v>1095.239539412597</v>
      </c>
      <c r="F27" s="12">
        <f t="shared" si="2"/>
        <v>5.6790221257228386E-2</v>
      </c>
      <c r="G27" s="12">
        <f>(SUMIFS('01_Portfolio_Input'!$I$6:$I$65,'01_Portfolio_Input'!$D$6:$D$65,B27,'01_Portfolio_Input'!$Z$6:$Z$65,"Credible transition plan")+SUMIFS('01_Portfolio_Input'!$I$6:$I$65,'01_Portfolio_Input'!$D$6:$D$65,B27,'01_Portfolio_Input'!$Z$6:$Z$65,"Partial transition plan"))/C27</f>
        <v>0.7142857142857143</v>
      </c>
      <c r="H27" s="12">
        <f>(SUMIFS('01_Portfolio_Input'!$I$6:$I$65,'01_Portfolio_Input'!$D$6:$D$65,B27,'01_Portfolio_Input'!$AA$6:$AA$65,"Synthetic SBT-style target")+SUMIFS('01_Portfolio_Input'!$I$6:$I$65,'01_Portfolio_Input'!$D$6:$D$65,B27,'01_Portfolio_Input'!$AA$6:$AA$65,"Target under development"))/C27</f>
        <v>1</v>
      </c>
      <c r="I27" s="45">
        <f>SUMPRODUCT(--('01_Portfolio_Input'!$D$6:$D$65=B27),'01_Portfolio_Input'!$I$6:$I$65,'01_Portfolio_Input'!$W$6:$W$65)/C27</f>
        <v>2.2857142857142856</v>
      </c>
      <c r="J27" s="12">
        <f t="shared" si="3"/>
        <v>0.6785714285714286</v>
      </c>
      <c r="K27" s="12">
        <f>SUMIFS('01_Portfolio_Input'!$I$6:$I$65,'01_Portfolio_Input'!$D$6:$D$65,B27,'01_Portfolio_Input'!$H$6:$H$65,"&lt;=2026")/C27</f>
        <v>0</v>
      </c>
      <c r="L27" s="12">
        <f>SUMIFS('01_Portfolio_Input'!$I$6:$I$65,'01_Portfolio_Input'!$D$6:$D$65,B27,'01_Portfolio_Input'!$H$6:$H$65,"&lt;=2030")/C27</f>
        <v>0.7142857142857143</v>
      </c>
      <c r="M27" s="12">
        <f>SUMIFS('01_Portfolio_Input'!$I$6:$I$65,'01_Portfolio_Input'!$D$6:$D$65,B27,'01_Portfolio_Input'!$H$6:$H$65,"&gt;2030")/C27</f>
        <v>0.2857142857142857</v>
      </c>
      <c r="N27" s="12">
        <f>SUMIFS('01_Portfolio_Input'!$I$6:$I$65,'01_Portfolio_Input'!$D$6:$D$65,B27,'01_Portfolio_Input'!$H$6:$H$65,"&gt;2040")/C27</f>
        <v>0</v>
      </c>
      <c r="O27" s="12">
        <f>SUMPRODUCT(--('01_Portfolio_Input'!$D$6:$D$65=B27),'01_Portfolio_Input'!$I$6:$I$65,'01_Portfolio_Input'!$AB$6:$AB$65)/C27/100</f>
        <v>0.37285714285714283</v>
      </c>
      <c r="P27" s="12">
        <f>SUMPRODUCT(--('01_Portfolio_Input'!$D$6:$D$65=B27),'01_Portfolio_Input'!$I$6:$I$65,'01_Portfolio_Input'!$AC$6:$AC$65)/C27/100</f>
        <v>0.02</v>
      </c>
      <c r="Q27" s="12">
        <f>SUMIFS('01_Portfolio_Input'!$I$6:$I$65,'01_Portfolio_Input'!$D$6:$D$65,B27,'01_Portfolio_Input'!$AD$6:$AD$65,TRUE)/C27</f>
        <v>0</v>
      </c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5">
      <c r="B28" s="4" t="str">
        <f t="shared" si="0"/>
        <v>Agriculture &amp; Food</v>
      </c>
      <c r="C28" s="5">
        <f>SUMIF('03_Financed_Emissions'!$D$6:$D$65,B28,'03_Financed_Emissions'!$E$6:$E$65)</f>
        <v>395</v>
      </c>
      <c r="D28" s="5">
        <f>SUMIF('03_Financed_Emissions'!$D$6:$D$65,B28,'03_Financed_Emissions'!$L$6:$L$65)</f>
        <v>440.00004010241162</v>
      </c>
      <c r="E28" s="5">
        <f t="shared" si="1"/>
        <v>1113.9241521580041</v>
      </c>
      <c r="F28" s="12">
        <f t="shared" si="2"/>
        <v>5.4321014526120003E-2</v>
      </c>
      <c r="G28" s="12">
        <f>(SUMIFS('01_Portfolio_Input'!$I$6:$I$65,'01_Portfolio_Input'!$D$6:$D$65,B28,'01_Portfolio_Input'!$Z$6:$Z$65,"Credible transition plan")+SUMIFS('01_Portfolio_Input'!$I$6:$I$65,'01_Portfolio_Input'!$D$6:$D$65,B28,'01_Portfolio_Input'!$Z$6:$Z$65,"Partial transition plan"))/C28</f>
        <v>1</v>
      </c>
      <c r="H28" s="12">
        <f>(SUMIFS('01_Portfolio_Input'!$I$6:$I$65,'01_Portfolio_Input'!$D$6:$D$65,B28,'01_Portfolio_Input'!$AA$6:$AA$65,"Synthetic SBT-style target")+SUMIFS('01_Portfolio_Input'!$I$6:$I$65,'01_Portfolio_Input'!$D$6:$D$65,B28,'01_Portfolio_Input'!$AA$6:$AA$65,"Target under development"))/C28</f>
        <v>1</v>
      </c>
      <c r="I28" s="45">
        <f>SUMPRODUCT(--('01_Portfolio_Input'!$D$6:$D$65=B28),'01_Portfolio_Input'!$I$6:$I$65,'01_Portfolio_Input'!$W$6:$W$65)/C28</f>
        <v>2.5949367088607596</v>
      </c>
      <c r="J28" s="12">
        <f t="shared" si="3"/>
        <v>0.60126582278481011</v>
      </c>
      <c r="K28" s="12">
        <f>SUMIFS('01_Portfolio_Input'!$I$6:$I$65,'01_Portfolio_Input'!$D$6:$D$65,B28,'01_Portfolio_Input'!$H$6:$H$65,"&lt;=2026")/C28</f>
        <v>0</v>
      </c>
      <c r="L28" s="12">
        <f>SUMIFS('01_Portfolio_Input'!$I$6:$I$65,'01_Portfolio_Input'!$D$6:$D$65,B28,'01_Portfolio_Input'!$H$6:$H$65,"&lt;=2030")/C28</f>
        <v>0.55696202531645567</v>
      </c>
      <c r="M28" s="12">
        <f>SUMIFS('01_Portfolio_Input'!$I$6:$I$65,'01_Portfolio_Input'!$D$6:$D$65,B28,'01_Portfolio_Input'!$H$6:$H$65,"&gt;2030")/C28</f>
        <v>0.44303797468354428</v>
      </c>
      <c r="N28" s="12">
        <f>SUMIFS('01_Portfolio_Input'!$I$6:$I$65,'01_Portfolio_Input'!$D$6:$D$65,B28,'01_Portfolio_Input'!$H$6:$H$65,"&gt;2040")/C28</f>
        <v>0</v>
      </c>
      <c r="O28" s="12">
        <f>SUMPRODUCT(--('01_Portfolio_Input'!$D$6:$D$65=B28),'01_Portfolio_Input'!$I$6:$I$65,'01_Portfolio_Input'!$AB$6:$AB$65)/C28/100</f>
        <v>0.18</v>
      </c>
      <c r="P28" s="12">
        <f>SUMPRODUCT(--('01_Portfolio_Input'!$D$6:$D$65=B28),'01_Portfolio_Input'!$I$6:$I$65,'01_Portfolio_Input'!$AC$6:$AC$65)/C28/100</f>
        <v>0.02</v>
      </c>
      <c r="Q28" s="12">
        <f>SUMIFS('01_Portfolio_Input'!$I$6:$I$65,'01_Portfolio_Input'!$D$6:$D$65,B28,'01_Portfolio_Input'!$AD$6:$AD$65,TRUE)/C28</f>
        <v>0</v>
      </c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5">
      <c r="B29" s="4" t="str">
        <f t="shared" si="0"/>
        <v>Real Estate</v>
      </c>
      <c r="C29" s="5">
        <f>SUMIF('03_Financed_Emissions'!$D$6:$D$65,B29,'03_Financed_Emissions'!$E$6:$E$65)</f>
        <v>520</v>
      </c>
      <c r="D29" s="5">
        <f>SUMIF('03_Financed_Emissions'!$D$6:$D$65,B29,'03_Financed_Emissions'!$L$6:$L$65)</f>
        <v>299.99984456606376</v>
      </c>
      <c r="E29" s="5">
        <f t="shared" si="1"/>
        <v>576.92277801166108</v>
      </c>
      <c r="F29" s="12">
        <f t="shared" si="2"/>
        <v>3.7037032793710359E-2</v>
      </c>
      <c r="G29" s="12">
        <f>(SUMIFS('01_Portfolio_Input'!$I$6:$I$65,'01_Portfolio_Input'!$D$6:$D$65,B29,'01_Portfolio_Input'!$Z$6:$Z$65,"Credible transition plan")+SUMIFS('01_Portfolio_Input'!$I$6:$I$65,'01_Portfolio_Input'!$D$6:$D$65,B29,'01_Portfolio_Input'!$Z$6:$Z$65,"Partial transition plan"))/C29</f>
        <v>1</v>
      </c>
      <c r="H29" s="12">
        <f>(SUMIFS('01_Portfolio_Input'!$I$6:$I$65,'01_Portfolio_Input'!$D$6:$D$65,B29,'01_Portfolio_Input'!$AA$6:$AA$65,"Synthetic SBT-style target")+SUMIFS('01_Portfolio_Input'!$I$6:$I$65,'01_Portfolio_Input'!$D$6:$D$65,B29,'01_Portfolio_Input'!$AA$6:$AA$65,"Target under development"))/C29</f>
        <v>1</v>
      </c>
      <c r="I29" s="45">
        <f>SUMPRODUCT(--('01_Portfolio_Input'!$D$6:$D$65=B29),'01_Portfolio_Input'!$I$6:$I$65,'01_Portfolio_Input'!$W$6:$W$65)/C29</f>
        <v>2</v>
      </c>
      <c r="J29" s="12">
        <f t="shared" si="3"/>
        <v>0.75</v>
      </c>
      <c r="K29" s="12">
        <f>SUMIFS('01_Portfolio_Input'!$I$6:$I$65,'01_Portfolio_Input'!$D$6:$D$65,B29,'01_Portfolio_Input'!$H$6:$H$65,"&lt;=2026")/C29</f>
        <v>0.48076923076923078</v>
      </c>
      <c r="L29" s="12">
        <f>SUMIFS('01_Portfolio_Input'!$I$6:$I$65,'01_Portfolio_Input'!$D$6:$D$65,B29,'01_Portfolio_Input'!$H$6:$H$65,"&lt;=2030")/C29</f>
        <v>0.90384615384615385</v>
      </c>
      <c r="M29" s="12">
        <f>SUMIFS('01_Portfolio_Input'!$I$6:$I$65,'01_Portfolio_Input'!$D$6:$D$65,B29,'01_Portfolio_Input'!$H$6:$H$65,"&gt;2030")/C29</f>
        <v>9.6153846153846159E-2</v>
      </c>
      <c r="N29" s="12">
        <f>SUMIFS('01_Portfolio_Input'!$I$6:$I$65,'01_Portfolio_Input'!$D$6:$D$65,B29,'01_Portfolio_Input'!$H$6:$H$65,"&gt;2040")/C29</f>
        <v>0</v>
      </c>
      <c r="O29" s="12">
        <f>SUMPRODUCT(--('01_Portfolio_Input'!$D$6:$D$65=B29),'01_Portfolio_Input'!$I$6:$I$65,'01_Portfolio_Input'!$AB$6:$AB$65)/C29/100</f>
        <v>0.45</v>
      </c>
      <c r="P29" s="12">
        <f>SUMPRODUCT(--('01_Portfolio_Input'!$D$6:$D$65=B29),'01_Portfolio_Input'!$I$6:$I$65,'01_Portfolio_Input'!$AC$6:$AC$65)/C29/100</f>
        <v>0.02</v>
      </c>
      <c r="Q29" s="12">
        <f>SUMIFS('01_Portfolio_Input'!$I$6:$I$65,'01_Portfolio_Input'!$D$6:$D$65,B29,'01_Portfolio_Input'!$AD$6:$AD$65,TRUE)/C29</f>
        <v>0</v>
      </c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5">
      <c r="B30" s="4" t="str">
        <f t="shared" si="0"/>
        <v>Retail &amp; Services</v>
      </c>
      <c r="C30" s="5">
        <f>SUMIF('03_Financed_Emissions'!$D$6:$D$65,B30,'03_Financed_Emissions'!$E$6:$E$65)</f>
        <v>300</v>
      </c>
      <c r="D30" s="5">
        <f>SUMIF('03_Financed_Emissions'!$D$6:$D$65,B30,'03_Financed_Emissions'!$L$6:$L$65)</f>
        <v>129.99978060188528</v>
      </c>
      <c r="E30" s="5">
        <f t="shared" si="1"/>
        <v>433.33260200628422</v>
      </c>
      <c r="F30" s="12">
        <f t="shared" si="2"/>
        <v>1.6049362106475677E-2</v>
      </c>
      <c r="G30" s="12">
        <f>(SUMIFS('01_Portfolio_Input'!$I$6:$I$65,'01_Portfolio_Input'!$D$6:$D$65,B30,'01_Portfolio_Input'!$Z$6:$Z$65,"Credible transition plan")+SUMIFS('01_Portfolio_Input'!$I$6:$I$65,'01_Portfolio_Input'!$D$6:$D$65,B30,'01_Portfolio_Input'!$Z$6:$Z$65,"Partial transition plan"))/C30</f>
        <v>1</v>
      </c>
      <c r="H30" s="12">
        <f>(SUMIFS('01_Portfolio_Input'!$I$6:$I$65,'01_Portfolio_Input'!$D$6:$D$65,B30,'01_Portfolio_Input'!$AA$6:$AA$65,"Synthetic SBT-style target")+SUMIFS('01_Portfolio_Input'!$I$6:$I$65,'01_Portfolio_Input'!$D$6:$D$65,B30,'01_Portfolio_Input'!$AA$6:$AA$65,"Target under development"))/C30</f>
        <v>1</v>
      </c>
      <c r="I30" s="45">
        <f>SUMPRODUCT(--('01_Portfolio_Input'!$D$6:$D$65=B30),'01_Portfolio_Input'!$I$6:$I$65,'01_Portfolio_Input'!$W$6:$W$65)/C30</f>
        <v>2</v>
      </c>
      <c r="J30" s="12">
        <f t="shared" si="3"/>
        <v>0.75</v>
      </c>
      <c r="K30" s="12">
        <f>SUMIFS('01_Portfolio_Input'!$I$6:$I$65,'01_Portfolio_Input'!$D$6:$D$65,B30,'01_Portfolio_Input'!$H$6:$H$65,"&lt;=2026")/C30</f>
        <v>0.26666666666666666</v>
      </c>
      <c r="L30" s="12">
        <f>SUMIFS('01_Portfolio_Input'!$I$6:$I$65,'01_Portfolio_Input'!$D$6:$D$65,B30,'01_Portfolio_Input'!$H$6:$H$65,"&lt;=2030")/C30</f>
        <v>0.76666666666666672</v>
      </c>
      <c r="M30" s="12">
        <f>SUMIFS('01_Portfolio_Input'!$I$6:$I$65,'01_Portfolio_Input'!$D$6:$D$65,B30,'01_Portfolio_Input'!$H$6:$H$65,"&gt;2030")/C30</f>
        <v>0.23333333333333334</v>
      </c>
      <c r="N30" s="12">
        <f>SUMIFS('01_Portfolio_Input'!$I$6:$I$65,'01_Portfolio_Input'!$D$6:$D$65,B30,'01_Portfolio_Input'!$H$6:$H$65,"&gt;2040")/C30</f>
        <v>0</v>
      </c>
      <c r="O30" s="12">
        <f>SUMPRODUCT(--('01_Portfolio_Input'!$D$6:$D$65=B30),'01_Portfolio_Input'!$I$6:$I$65,'01_Portfolio_Input'!$AB$6:$AB$65)/C30/100</f>
        <v>0.45</v>
      </c>
      <c r="P30" s="12">
        <f>SUMPRODUCT(--('01_Portfolio_Input'!$D$6:$D$65=B30),'01_Portfolio_Input'!$I$6:$I$65,'01_Portfolio_Input'!$AC$6:$AC$65)/C30/100</f>
        <v>0.02</v>
      </c>
      <c r="Q30" s="12">
        <f>SUMIFS('01_Portfolio_Input'!$I$6:$I$65,'01_Portfolio_Input'!$D$6:$D$65,B30,'01_Portfolio_Input'!$AD$6:$AD$65,TRUE)/C30</f>
        <v>0</v>
      </c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5">
      <c r="A32" t="s">
        <v>11</v>
      </c>
      <c r="B32" s="32" t="s">
        <v>346</v>
      </c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113"/>
    </row>
    <row r="33" spans="1:27" ht="41" customHeight="1">
      <c r="B33" s="101" t="s">
        <v>14</v>
      </c>
      <c r="C33" s="101" t="s">
        <v>347</v>
      </c>
      <c r="D33" s="101" t="s">
        <v>348</v>
      </c>
      <c r="E33" s="101" t="s">
        <v>349</v>
      </c>
      <c r="F33" s="101" t="s">
        <v>350</v>
      </c>
      <c r="G33" s="101" t="s">
        <v>351</v>
      </c>
      <c r="H33" s="101" t="s">
        <v>352</v>
      </c>
      <c r="I33" s="101" t="s">
        <v>353</v>
      </c>
      <c r="J33" s="101" t="s">
        <v>354</v>
      </c>
      <c r="K33" s="101" t="s">
        <v>355</v>
      </c>
      <c r="L33" s="101" t="s">
        <v>356</v>
      </c>
      <c r="M33" s="101" t="s">
        <v>357</v>
      </c>
      <c r="N33" s="101" t="s">
        <v>358</v>
      </c>
      <c r="O33" s="101" t="s">
        <v>359</v>
      </c>
      <c r="P33" s="101" t="s">
        <v>360</v>
      </c>
      <c r="Q33" s="101" t="s">
        <v>361</v>
      </c>
      <c r="R33" s="101" t="s">
        <v>362</v>
      </c>
      <c r="S33" s="101" t="s">
        <v>363</v>
      </c>
      <c r="T33" s="101"/>
      <c r="U33" s="101"/>
      <c r="V33" s="111" t="s">
        <v>276</v>
      </c>
      <c r="W33" s="111"/>
      <c r="X33" s="111"/>
      <c r="Y33" s="101"/>
      <c r="Z33" s="101"/>
      <c r="AA33" s="113"/>
    </row>
    <row r="34" spans="1:27" ht="18" customHeight="1">
      <c r="B34" s="4" t="str">
        <f t="shared" ref="B34:B44" si="4">B20</f>
        <v>Oil &amp; Gas</v>
      </c>
      <c r="C34" s="4">
        <v>2024</v>
      </c>
      <c r="D34" s="4">
        <v>2030</v>
      </c>
      <c r="E34" s="5">
        <f t="shared" ref="E34:E44" si="5">D34-C34</f>
        <v>6</v>
      </c>
      <c r="F34" s="33">
        <v>4.2000000000000003E-2</v>
      </c>
      <c r="G34" s="12">
        <f t="shared" ref="G34:G44" si="6">E34*F34</f>
        <v>0.252</v>
      </c>
      <c r="H34" s="12">
        <f t="shared" ref="H34:H44" si="7">1-G34</f>
        <v>0.748</v>
      </c>
      <c r="I34" s="33">
        <v>0.116674963662791</v>
      </c>
      <c r="J34" s="12">
        <f t="shared" ref="J34:J44" si="8">0.05*G20+0.04*H20+0.03*J20</f>
        <v>1.2070312499999999E-2</v>
      </c>
      <c r="K34" s="12">
        <f t="shared" ref="K34:K44" si="9">0.055*L20-0.03*M20</f>
        <v>-0.03</v>
      </c>
      <c r="L34" s="12">
        <f t="shared" ref="L34:L44" si="10">0.06*O20</f>
        <v>3.0000000000000001E-3</v>
      </c>
      <c r="M34" s="12">
        <f t="shared" ref="M34:M44" si="11">0.1*P20</f>
        <v>3.4999999999999996E-2</v>
      </c>
      <c r="N34" s="276">
        <f>H34-I34+J34+K34+L34-M34</f>
        <v>0.581395348837209</v>
      </c>
      <c r="O34" s="5">
        <f t="shared" ref="O34:O44" si="12">E20</f>
        <v>2578.1221192932458</v>
      </c>
      <c r="P34" s="5">
        <f t="shared" ref="P34:P44" si="13">O34*N34</f>
        <v>1498.9082088914213</v>
      </c>
      <c r="Q34" s="56">
        <f t="shared" ref="Q34:Q44" si="14">O34/P34</f>
        <v>1.7200000000000009</v>
      </c>
      <c r="R34" s="57">
        <f t="shared" ref="R34:R44" si="15">Q34-1</f>
        <v>0.72000000000000086</v>
      </c>
      <c r="S34" s="58" t="str">
        <f t="shared" ref="S34:S44" si="16">IF(R34&gt;=40%,"High",IF(R34&gt;=0,"Medium","Low"))</f>
        <v>High</v>
      </c>
      <c r="T34" s="11" t="s">
        <v>364</v>
      </c>
      <c r="U34" s="46"/>
      <c r="W34" s="1"/>
      <c r="X34" s="1"/>
      <c r="Y34" s="1"/>
      <c r="Z34" s="1"/>
      <c r="AA34" s="1"/>
    </row>
    <row r="35" spans="1:27" ht="18" customHeight="1">
      <c r="B35" s="4" t="str">
        <f t="shared" si="4"/>
        <v>Cement</v>
      </c>
      <c r="C35" s="4">
        <v>2024</v>
      </c>
      <c r="D35" s="4">
        <v>2030</v>
      </c>
      <c r="E35" s="5">
        <f t="shared" si="5"/>
        <v>6</v>
      </c>
      <c r="F35" s="33">
        <v>4.2000000000000003E-2</v>
      </c>
      <c r="G35" s="12">
        <f t="shared" si="6"/>
        <v>0.252</v>
      </c>
      <c r="H35" s="12">
        <f t="shared" si="7"/>
        <v>0.748</v>
      </c>
      <c r="I35" s="33">
        <v>0.113067741935484</v>
      </c>
      <c r="J35" s="12">
        <f t="shared" si="8"/>
        <v>2.0241935483870967E-2</v>
      </c>
      <c r="K35" s="12">
        <f t="shared" si="9"/>
        <v>-2.4516129032258062E-2</v>
      </c>
      <c r="L35" s="12">
        <f t="shared" si="10"/>
        <v>5.0516129032258062E-3</v>
      </c>
      <c r="M35" s="12">
        <f t="shared" si="11"/>
        <v>1.0709677419354838E-2</v>
      </c>
      <c r="N35" s="276">
        <f t="shared" ref="N35:N44" si="17">H35-I35+J35+K35+L35-M35</f>
        <v>0.62499999999999989</v>
      </c>
      <c r="O35" s="5">
        <f t="shared" si="12"/>
        <v>2516.1191375021754</v>
      </c>
      <c r="P35" s="5">
        <f t="shared" si="13"/>
        <v>1572.5744609388594</v>
      </c>
      <c r="Q35" s="56">
        <f t="shared" si="14"/>
        <v>1.6000000000000003</v>
      </c>
      <c r="R35" s="57">
        <f t="shared" si="15"/>
        <v>0.60000000000000031</v>
      </c>
      <c r="S35" s="58" t="str">
        <f t="shared" si="16"/>
        <v>High</v>
      </c>
      <c r="T35" s="11" t="s">
        <v>365</v>
      </c>
      <c r="U35" s="46"/>
      <c r="W35" s="1"/>
      <c r="X35" s="1"/>
      <c r="Y35" s="1"/>
      <c r="Z35" s="1"/>
      <c r="AA35" s="1"/>
    </row>
    <row r="36" spans="1:27" ht="18" customHeight="1">
      <c r="B36" s="4" t="str">
        <f t="shared" si="4"/>
        <v>Steel</v>
      </c>
      <c r="C36" s="4">
        <v>2024</v>
      </c>
      <c r="D36" s="4">
        <v>2030</v>
      </c>
      <c r="E36" s="5">
        <f t="shared" si="5"/>
        <v>6</v>
      </c>
      <c r="F36" s="33">
        <v>4.2000000000000003E-2</v>
      </c>
      <c r="G36" s="12">
        <f t="shared" si="6"/>
        <v>0.252</v>
      </c>
      <c r="H36" s="12">
        <f t="shared" si="7"/>
        <v>0.748</v>
      </c>
      <c r="I36" s="33">
        <v>7.0405228758169902E-2</v>
      </c>
      <c r="J36" s="12">
        <f t="shared" si="8"/>
        <v>1.4999999999999999E-2</v>
      </c>
      <c r="K36" s="12">
        <f t="shared" si="9"/>
        <v>-0.03</v>
      </c>
      <c r="L36" s="12">
        <f t="shared" si="10"/>
        <v>3.0000000000000001E-3</v>
      </c>
      <c r="M36" s="12">
        <f t="shared" si="11"/>
        <v>1.2E-2</v>
      </c>
      <c r="N36" s="276">
        <f t="shared" si="17"/>
        <v>0.65359477124183007</v>
      </c>
      <c r="O36" s="5">
        <f t="shared" si="12"/>
        <v>2538.4602074631575</v>
      </c>
      <c r="P36" s="5">
        <f t="shared" si="13"/>
        <v>1659.124318603371</v>
      </c>
      <c r="Q36" s="56">
        <f t="shared" si="14"/>
        <v>1.53</v>
      </c>
      <c r="R36" s="57">
        <f t="shared" si="15"/>
        <v>0.53</v>
      </c>
      <c r="S36" s="58" t="str">
        <f t="shared" si="16"/>
        <v>High</v>
      </c>
      <c r="T36" s="11" t="s">
        <v>366</v>
      </c>
      <c r="U36" s="46"/>
      <c r="W36" s="1"/>
      <c r="X36" s="1"/>
      <c r="Y36" s="1"/>
      <c r="Z36" s="1"/>
      <c r="AA36" s="1"/>
    </row>
    <row r="37" spans="1:27" ht="18" customHeight="1">
      <c r="B37" s="4" t="str">
        <f t="shared" si="4"/>
        <v>Aviation</v>
      </c>
      <c r="C37" s="4">
        <v>2024</v>
      </c>
      <c r="D37" s="4">
        <v>2030</v>
      </c>
      <c r="E37" s="5">
        <f t="shared" si="5"/>
        <v>6</v>
      </c>
      <c r="F37" s="33">
        <v>4.2000000000000003E-2</v>
      </c>
      <c r="G37" s="12">
        <f t="shared" si="6"/>
        <v>0.252</v>
      </c>
      <c r="H37" s="12">
        <f t="shared" si="7"/>
        <v>0.748</v>
      </c>
      <c r="I37" s="33">
        <v>6.0045219846712197E-2</v>
      </c>
      <c r="J37" s="12">
        <f t="shared" si="8"/>
        <v>1.8022388059701494E-2</v>
      </c>
      <c r="K37" s="12">
        <f t="shared" si="9"/>
        <v>-2.4925373134328362E-2</v>
      </c>
      <c r="L37" s="12">
        <f t="shared" si="10"/>
        <v>5.1313432835820892E-3</v>
      </c>
      <c r="M37" s="12">
        <f t="shared" si="11"/>
        <v>1.0507462686567166E-2</v>
      </c>
      <c r="N37" s="276">
        <f t="shared" si="17"/>
        <v>0.67567567567567577</v>
      </c>
      <c r="O37" s="5">
        <f t="shared" si="12"/>
        <v>1880.6006096974397</v>
      </c>
      <c r="P37" s="5">
        <f t="shared" si="13"/>
        <v>1270.6760876334054</v>
      </c>
      <c r="Q37" s="56">
        <f t="shared" si="14"/>
        <v>1.4799999999999998</v>
      </c>
      <c r="R37" s="57">
        <f t="shared" si="15"/>
        <v>0.47999999999999976</v>
      </c>
      <c r="S37" s="58" t="str">
        <f t="shared" si="16"/>
        <v>High</v>
      </c>
      <c r="T37" s="11" t="s">
        <v>367</v>
      </c>
      <c r="U37" s="46"/>
      <c r="W37" s="1"/>
      <c r="X37" s="1"/>
      <c r="Y37" s="1"/>
      <c r="Z37" s="1"/>
      <c r="AA37" s="1"/>
    </row>
    <row r="38" spans="1:27" ht="18" customHeight="1">
      <c r="B38" s="4" t="str">
        <f t="shared" si="4"/>
        <v>Power &amp; Utilities</v>
      </c>
      <c r="C38" s="4">
        <v>2024</v>
      </c>
      <c r="D38" s="4">
        <v>2030</v>
      </c>
      <c r="E38" s="5">
        <f t="shared" si="5"/>
        <v>6</v>
      </c>
      <c r="F38" s="33">
        <v>4.2000000000000003E-2</v>
      </c>
      <c r="G38" s="12">
        <f t="shared" si="6"/>
        <v>0.252</v>
      </c>
      <c r="H38" s="12">
        <f t="shared" si="7"/>
        <v>0.748</v>
      </c>
      <c r="I38" s="33">
        <v>0.1082795</v>
      </c>
      <c r="J38" s="12">
        <f t="shared" si="8"/>
        <v>8.7206111111111109E-2</v>
      </c>
      <c r="K38" s="12">
        <f t="shared" si="9"/>
        <v>4.2868611111111107E-2</v>
      </c>
      <c r="L38" s="12">
        <f t="shared" si="10"/>
        <v>1.4603666666666664E-2</v>
      </c>
      <c r="M38" s="12">
        <f t="shared" si="11"/>
        <v>3.1488888888888886E-3</v>
      </c>
      <c r="N38" s="276">
        <f t="shared" si="17"/>
        <v>0.78125</v>
      </c>
      <c r="O38" s="5">
        <f t="shared" si="12"/>
        <v>1972.2292720603728</v>
      </c>
      <c r="P38" s="5">
        <f t="shared" si="13"/>
        <v>1540.8041187971662</v>
      </c>
      <c r="Q38" s="56">
        <f t="shared" si="14"/>
        <v>1.28</v>
      </c>
      <c r="R38" s="57">
        <f t="shared" si="15"/>
        <v>0.28000000000000003</v>
      </c>
      <c r="S38" s="58" t="str">
        <f t="shared" si="16"/>
        <v>Medium</v>
      </c>
      <c r="T38" s="11" t="s">
        <v>368</v>
      </c>
      <c r="U38" s="46"/>
      <c r="W38" s="1"/>
      <c r="X38" s="1"/>
      <c r="Y38" s="1"/>
      <c r="Z38" s="1"/>
      <c r="AA38" s="1"/>
    </row>
    <row r="39" spans="1:27" ht="18" customHeight="1">
      <c r="B39" s="4" t="str">
        <f t="shared" si="4"/>
        <v>Chemicals</v>
      </c>
      <c r="C39" s="4">
        <v>2024</v>
      </c>
      <c r="D39" s="4">
        <v>2030</v>
      </c>
      <c r="E39" s="5">
        <f t="shared" si="5"/>
        <v>6</v>
      </c>
      <c r="F39" s="33">
        <v>4.2000000000000003E-2</v>
      </c>
      <c r="G39" s="12">
        <f t="shared" si="6"/>
        <v>0.252</v>
      </c>
      <c r="H39" s="12">
        <f t="shared" si="7"/>
        <v>0.748</v>
      </c>
      <c r="I39" s="33">
        <v>4.5388738417676398E-2</v>
      </c>
      <c r="J39" s="12">
        <f t="shared" si="8"/>
        <v>0.105</v>
      </c>
      <c r="K39" s="12">
        <f t="shared" si="9"/>
        <v>3.2608695652173898E-3</v>
      </c>
      <c r="L39" s="12">
        <f t="shared" si="10"/>
        <v>1.0799999999999999E-2</v>
      </c>
      <c r="M39" s="12">
        <f t="shared" si="11"/>
        <v>2E-3</v>
      </c>
      <c r="N39" s="276">
        <f t="shared" si="17"/>
        <v>0.81967213114754101</v>
      </c>
      <c r="O39" s="5">
        <f t="shared" si="12"/>
        <v>1695.6432727325341</v>
      </c>
      <c r="P39" s="5">
        <f t="shared" si="13"/>
        <v>1389.8715350266673</v>
      </c>
      <c r="Q39" s="56">
        <f t="shared" si="14"/>
        <v>1.22</v>
      </c>
      <c r="R39" s="57">
        <f t="shared" si="15"/>
        <v>0.21999999999999997</v>
      </c>
      <c r="S39" s="58" t="str">
        <f t="shared" si="16"/>
        <v>Medium</v>
      </c>
      <c r="T39" s="11" t="s">
        <v>369</v>
      </c>
      <c r="U39" s="46"/>
      <c r="W39" s="1"/>
      <c r="X39" s="1"/>
      <c r="Y39" s="1"/>
      <c r="Z39" s="1"/>
      <c r="AA39" s="1"/>
    </row>
    <row r="40" spans="1:27" ht="18" customHeight="1">
      <c r="B40" s="4" t="str">
        <f t="shared" si="4"/>
        <v>Shipping</v>
      </c>
      <c r="C40" s="4">
        <v>2024</v>
      </c>
      <c r="D40" s="4">
        <v>2030</v>
      </c>
      <c r="E40" s="5">
        <f t="shared" si="5"/>
        <v>6</v>
      </c>
      <c r="F40" s="33">
        <v>4.2000000000000003E-2</v>
      </c>
      <c r="G40" s="12">
        <f t="shared" si="6"/>
        <v>0.252</v>
      </c>
      <c r="H40" s="12">
        <f t="shared" si="7"/>
        <v>0.748</v>
      </c>
      <c r="I40" s="33">
        <v>1.0943155694879801E-2</v>
      </c>
      <c r="J40" s="12">
        <f t="shared" si="8"/>
        <v>0.105</v>
      </c>
      <c r="K40" s="12">
        <f t="shared" si="9"/>
        <v>1.1212121212121215E-2</v>
      </c>
      <c r="L40" s="12">
        <f t="shared" si="10"/>
        <v>1.0799999999999999E-2</v>
      </c>
      <c r="M40" s="12">
        <f t="shared" si="11"/>
        <v>2E-3</v>
      </c>
      <c r="N40" s="276">
        <f t="shared" si="17"/>
        <v>0.86206896551724144</v>
      </c>
      <c r="O40" s="5">
        <f t="shared" si="12"/>
        <v>1575.7566787944843</v>
      </c>
      <c r="P40" s="5">
        <f t="shared" si="13"/>
        <v>1358.4109299952452</v>
      </c>
      <c r="Q40" s="56">
        <f t="shared" si="14"/>
        <v>1.1599999999999999</v>
      </c>
      <c r="R40" s="57">
        <f t="shared" si="15"/>
        <v>0.15999999999999992</v>
      </c>
      <c r="S40" s="58" t="str">
        <f t="shared" si="16"/>
        <v>Medium</v>
      </c>
      <c r="T40" s="11" t="s">
        <v>370</v>
      </c>
      <c r="U40" s="46"/>
      <c r="W40" s="1"/>
      <c r="X40" s="1"/>
      <c r="Y40" s="1"/>
      <c r="Z40" s="1"/>
      <c r="AA40" s="1"/>
    </row>
    <row r="41" spans="1:27" ht="18" customHeight="1">
      <c r="B41" s="4" t="str">
        <f t="shared" si="4"/>
        <v>Automotive</v>
      </c>
      <c r="C41" s="4">
        <v>2024</v>
      </c>
      <c r="D41" s="4">
        <v>2030</v>
      </c>
      <c r="E41" s="5">
        <f t="shared" si="5"/>
        <v>6</v>
      </c>
      <c r="F41" s="33">
        <v>4.2000000000000003E-2</v>
      </c>
      <c r="G41" s="12">
        <f t="shared" si="6"/>
        <v>0.252</v>
      </c>
      <c r="H41" s="12">
        <f t="shared" si="7"/>
        <v>0.748</v>
      </c>
      <c r="I41" s="33">
        <v>-3.07687830687829E-2</v>
      </c>
      <c r="J41" s="12">
        <f t="shared" si="8"/>
        <v>9.6071428571428585E-2</v>
      </c>
      <c r="K41" s="12">
        <f t="shared" si="9"/>
        <v>3.0714285714285715E-2</v>
      </c>
      <c r="L41" s="12">
        <f t="shared" si="10"/>
        <v>2.237142857142857E-2</v>
      </c>
      <c r="M41" s="12">
        <f t="shared" si="11"/>
        <v>2E-3</v>
      </c>
      <c r="N41" s="276">
        <f t="shared" si="17"/>
        <v>0.92592592592592582</v>
      </c>
      <c r="O41" s="5">
        <f t="shared" si="12"/>
        <v>1095.239539412597</v>
      </c>
      <c r="P41" s="5">
        <f t="shared" si="13"/>
        <v>1014.1106846412933</v>
      </c>
      <c r="Q41" s="56">
        <f t="shared" si="14"/>
        <v>1.08</v>
      </c>
      <c r="R41" s="57">
        <f t="shared" si="15"/>
        <v>8.0000000000000071E-2</v>
      </c>
      <c r="S41" s="58" t="str">
        <f t="shared" si="16"/>
        <v>Medium</v>
      </c>
      <c r="T41" s="11" t="s">
        <v>371</v>
      </c>
      <c r="U41" s="46"/>
      <c r="W41" s="1"/>
      <c r="X41" s="1"/>
      <c r="Y41" s="1"/>
      <c r="Z41" s="1"/>
      <c r="AA41" s="1"/>
    </row>
    <row r="42" spans="1:27" ht="18" customHeight="1">
      <c r="B42" s="4" t="str">
        <f t="shared" si="4"/>
        <v>Agriculture &amp; Food</v>
      </c>
      <c r="C42" s="4">
        <v>2024</v>
      </c>
      <c r="D42" s="4">
        <v>2030</v>
      </c>
      <c r="E42" s="5">
        <f t="shared" si="5"/>
        <v>6</v>
      </c>
      <c r="F42" s="33">
        <v>4.2000000000000003E-2</v>
      </c>
      <c r="G42" s="12">
        <f t="shared" si="6"/>
        <v>0.252</v>
      </c>
      <c r="H42" s="12">
        <f t="shared" si="7"/>
        <v>0.748</v>
      </c>
      <c r="I42" s="33">
        <v>-7.0201205545509293E-2</v>
      </c>
      <c r="J42" s="12">
        <f t="shared" si="8"/>
        <v>0.1080379746835443</v>
      </c>
      <c r="K42" s="12">
        <f t="shared" si="9"/>
        <v>1.7341772151898735E-2</v>
      </c>
      <c r="L42" s="12">
        <f t="shared" si="10"/>
        <v>1.0799999999999999E-2</v>
      </c>
      <c r="M42" s="12">
        <f t="shared" si="11"/>
        <v>2E-3</v>
      </c>
      <c r="N42" s="276">
        <f t="shared" si="17"/>
        <v>0.95238095238095222</v>
      </c>
      <c r="O42" s="5">
        <f t="shared" si="12"/>
        <v>1113.9241521580041</v>
      </c>
      <c r="P42" s="5">
        <f t="shared" si="13"/>
        <v>1060.8801449123846</v>
      </c>
      <c r="Q42" s="56">
        <f t="shared" si="14"/>
        <v>1.0500000000000003</v>
      </c>
      <c r="R42" s="57">
        <f t="shared" si="15"/>
        <v>5.0000000000000266E-2</v>
      </c>
      <c r="S42" s="58" t="str">
        <f t="shared" si="16"/>
        <v>Medium</v>
      </c>
      <c r="T42" s="11" t="s">
        <v>372</v>
      </c>
      <c r="U42" s="46"/>
      <c r="W42" s="1"/>
      <c r="X42" s="1"/>
      <c r="Y42" s="1"/>
      <c r="Z42" s="1"/>
      <c r="AA42" s="1"/>
    </row>
    <row r="43" spans="1:27" ht="18" customHeight="1">
      <c r="B43" s="4" t="str">
        <f t="shared" si="4"/>
        <v>Real Estate</v>
      </c>
      <c r="C43" s="4">
        <v>2024</v>
      </c>
      <c r="D43" s="4">
        <v>2030</v>
      </c>
      <c r="E43" s="5">
        <f t="shared" si="5"/>
        <v>6</v>
      </c>
      <c r="F43" s="33">
        <v>4.2000000000000003E-2</v>
      </c>
      <c r="G43" s="12">
        <f t="shared" si="6"/>
        <v>0.252</v>
      </c>
      <c r="H43" s="12">
        <f t="shared" si="7"/>
        <v>0.748</v>
      </c>
      <c r="I43" s="33">
        <v>-0.25814926739926702</v>
      </c>
      <c r="J43" s="12">
        <f t="shared" si="8"/>
        <v>0.11249999999999999</v>
      </c>
      <c r="K43" s="12">
        <f t="shared" si="9"/>
        <v>4.6826923076923072E-2</v>
      </c>
      <c r="L43" s="12">
        <f t="shared" si="10"/>
        <v>2.7E-2</v>
      </c>
      <c r="M43" s="12">
        <f t="shared" si="11"/>
        <v>2E-3</v>
      </c>
      <c r="N43" s="276">
        <f t="shared" si="17"/>
        <v>1.19047619047619</v>
      </c>
      <c r="O43" s="5">
        <f t="shared" si="12"/>
        <v>576.92277801166108</v>
      </c>
      <c r="P43" s="5">
        <f t="shared" si="13"/>
        <v>686.81283096626294</v>
      </c>
      <c r="Q43" s="56">
        <f t="shared" si="14"/>
        <v>0.8400000000000003</v>
      </c>
      <c r="R43" s="57">
        <f t="shared" si="15"/>
        <v>-0.1599999999999997</v>
      </c>
      <c r="S43" s="58" t="str">
        <f t="shared" si="16"/>
        <v>Low</v>
      </c>
      <c r="T43" s="11" t="s">
        <v>373</v>
      </c>
      <c r="U43" s="46"/>
      <c r="W43" s="1"/>
      <c r="X43" s="1"/>
      <c r="Y43" s="1"/>
      <c r="Z43" s="1"/>
      <c r="AA43" s="1"/>
    </row>
    <row r="44" spans="1:27" ht="18" customHeight="1">
      <c r="B44" s="4" t="str">
        <f t="shared" si="4"/>
        <v>Retail &amp; Services</v>
      </c>
      <c r="C44" s="4">
        <v>2024</v>
      </c>
      <c r="D44" s="4">
        <v>2030</v>
      </c>
      <c r="E44" s="5">
        <f t="shared" si="5"/>
        <v>6</v>
      </c>
      <c r="F44" s="33">
        <v>4.2000000000000003E-2</v>
      </c>
      <c r="G44" s="12">
        <f t="shared" si="6"/>
        <v>0.252</v>
      </c>
      <c r="H44" s="12">
        <f t="shared" si="7"/>
        <v>0.748</v>
      </c>
      <c r="I44" s="33">
        <v>-0.34515611814345998</v>
      </c>
      <c r="J44" s="12">
        <f t="shared" si="8"/>
        <v>0.11249999999999999</v>
      </c>
      <c r="K44" s="12">
        <f t="shared" si="9"/>
        <v>3.5166666666666672E-2</v>
      </c>
      <c r="L44" s="12">
        <f t="shared" si="10"/>
        <v>2.7E-2</v>
      </c>
      <c r="M44" s="12">
        <f t="shared" si="11"/>
        <v>2E-3</v>
      </c>
      <c r="N44" s="276">
        <f t="shared" si="17"/>
        <v>1.2658227848101264</v>
      </c>
      <c r="O44" s="5">
        <f t="shared" si="12"/>
        <v>433.33260200628422</v>
      </c>
      <c r="P44" s="5">
        <f t="shared" si="13"/>
        <v>548.52228102061292</v>
      </c>
      <c r="Q44" s="56">
        <f t="shared" si="14"/>
        <v>0.79</v>
      </c>
      <c r="R44" s="57">
        <f t="shared" si="15"/>
        <v>-0.20999999999999996</v>
      </c>
      <c r="S44" s="58" t="str">
        <f t="shared" si="16"/>
        <v>Low</v>
      </c>
      <c r="T44" s="11" t="s">
        <v>374</v>
      </c>
      <c r="U44" s="46"/>
      <c r="W44" s="1"/>
      <c r="X44" s="1"/>
      <c r="Y44" s="1"/>
      <c r="Z44" s="1"/>
      <c r="AA44" s="1"/>
    </row>
    <row r="45" spans="1:27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22" customHeight="1">
      <c r="A46" t="s">
        <v>11</v>
      </c>
      <c r="B46" s="42" t="s">
        <v>375</v>
      </c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</row>
    <row r="47" spans="1:27" ht="36" customHeight="1">
      <c r="B47" s="102" t="s">
        <v>14</v>
      </c>
      <c r="C47" s="102" t="s">
        <v>334</v>
      </c>
      <c r="D47" s="103" t="s">
        <v>361</v>
      </c>
      <c r="E47" s="104" t="s">
        <v>376</v>
      </c>
      <c r="F47" s="104" t="s">
        <v>377</v>
      </c>
      <c r="G47" s="104" t="s">
        <v>378</v>
      </c>
      <c r="H47" s="104" t="s">
        <v>379</v>
      </c>
      <c r="I47" s="105" t="s">
        <v>380</v>
      </c>
      <c r="J47" s="105" t="s">
        <v>381</v>
      </c>
      <c r="K47" s="105" t="s">
        <v>382</v>
      </c>
      <c r="L47" s="105" t="s">
        <v>383</v>
      </c>
      <c r="M47" s="105" t="s">
        <v>384</v>
      </c>
      <c r="N47" s="105"/>
      <c r="O47" s="105"/>
      <c r="P47" s="105"/>
      <c r="Q47" s="110" t="s">
        <v>276</v>
      </c>
      <c r="R47" s="110"/>
      <c r="S47" s="105"/>
      <c r="T47" s="105"/>
      <c r="U47" s="105"/>
    </row>
    <row r="48" spans="1:27" ht="15" customHeight="1">
      <c r="B48" s="47" t="str">
        <f t="shared" ref="B48:B58" si="18">B20</f>
        <v>Oil &amp; Gas</v>
      </c>
      <c r="C48" s="48">
        <f t="shared" ref="C48:C58" si="19">F20</f>
        <v>0.20370355829552153</v>
      </c>
      <c r="D48" s="49">
        <f t="shared" ref="D48:D58" si="20">Q34</f>
        <v>1.7200000000000009</v>
      </c>
      <c r="E48" s="49">
        <f t="shared" ref="E48:E58" si="21">N34</f>
        <v>0.581395348837209</v>
      </c>
      <c r="F48" s="49">
        <f t="shared" ref="F48:F58" si="22">D48/SUMPRODUCT($C$48:$C$58,$D$48:$D$58)</f>
        <v>1.2418220212475786</v>
      </c>
      <c r="G48" s="48">
        <f t="shared" ref="G48:G58" si="23">0.4*G20+0.3*H20+0.2*O20+0.1*J20</f>
        <v>5.0234375000000005E-2</v>
      </c>
      <c r="H48" s="48">
        <f t="shared" ref="H48:H58" si="24">0.6*L20+0.4*K20</f>
        <v>0</v>
      </c>
      <c r="I48" s="48">
        <f t="shared" ref="I48:I58" si="25">0.7*M20+0.3*N20</f>
        <v>0.92734374999999991</v>
      </c>
      <c r="J48" s="48">
        <f t="shared" ref="J48:J58" si="26">O20</f>
        <v>0.05</v>
      </c>
      <c r="K48" s="48">
        <f t="shared" ref="K48:K58" si="27">P20</f>
        <v>0.35</v>
      </c>
      <c r="L48" s="48">
        <f t="shared" ref="L48:L58" si="28">IFERROR(MAX(0,I34)/MAX($I$34:$I$44),0)</f>
        <v>1</v>
      </c>
      <c r="M48" s="59">
        <f t="shared" ref="M48:M58" si="29">0.35*G48+0.2*H48+0.15*J48-0.15*F48-0.1*I48-0.05*K48</f>
        <v>-0.27142564693713678</v>
      </c>
      <c r="N48" s="170"/>
      <c r="O48" s="168"/>
      <c r="P48" s="168"/>
      <c r="Q48" s="168"/>
      <c r="R48" s="168"/>
      <c r="S48" s="168"/>
      <c r="T48" s="168"/>
      <c r="U48" s="168"/>
    </row>
    <row r="49" spans="1:24" ht="15" customHeight="1">
      <c r="B49" s="47" t="str">
        <f t="shared" si="18"/>
        <v>Cement</v>
      </c>
      <c r="C49" s="48">
        <f t="shared" si="19"/>
        <v>9.6295956467700491E-2</v>
      </c>
      <c r="D49" s="49">
        <f t="shared" si="20"/>
        <v>1.6000000000000003</v>
      </c>
      <c r="E49" s="49">
        <f t="shared" si="21"/>
        <v>0.62499999999999989</v>
      </c>
      <c r="F49" s="49">
        <f t="shared" si="22"/>
        <v>1.1551832755791425</v>
      </c>
      <c r="G49" s="48">
        <f t="shared" si="23"/>
        <v>0.12087096774193548</v>
      </c>
      <c r="H49" s="48">
        <f t="shared" si="24"/>
        <v>3.8709677419354833E-2</v>
      </c>
      <c r="I49" s="48">
        <f t="shared" si="25"/>
        <v>0.79999999999999993</v>
      </c>
      <c r="J49" s="48">
        <f t="shared" si="26"/>
        <v>8.4193548387096778E-2</v>
      </c>
      <c r="K49" s="48">
        <f t="shared" si="27"/>
        <v>0.10709677419354838</v>
      </c>
      <c r="L49" s="48">
        <f t="shared" si="28"/>
        <v>0.96908315533971423</v>
      </c>
      <c r="M49" s="59">
        <f t="shared" si="29"/>
        <v>-0.1959565235949359</v>
      </c>
      <c r="N49" s="170"/>
      <c r="O49" s="168"/>
      <c r="P49" s="168"/>
      <c r="Q49" s="168"/>
      <c r="R49" s="168"/>
      <c r="S49" s="168"/>
      <c r="T49" s="168"/>
      <c r="U49" s="168"/>
    </row>
    <row r="50" spans="1:24" ht="15" customHeight="1">
      <c r="B50" s="47" t="str">
        <f t="shared" si="18"/>
        <v>Steel</v>
      </c>
      <c r="C50" s="48">
        <f t="shared" si="19"/>
        <v>0.12222220745907365</v>
      </c>
      <c r="D50" s="49">
        <f t="shared" si="20"/>
        <v>1.53</v>
      </c>
      <c r="E50" s="49">
        <f t="shared" si="21"/>
        <v>0.65359477124183007</v>
      </c>
      <c r="F50" s="49">
        <f t="shared" si="22"/>
        <v>1.1046440072725547</v>
      </c>
      <c r="G50" s="48">
        <f t="shared" si="23"/>
        <v>6.0000000000000005E-2</v>
      </c>
      <c r="H50" s="48">
        <f t="shared" si="24"/>
        <v>0</v>
      </c>
      <c r="I50" s="48">
        <f t="shared" si="25"/>
        <v>0.74230769230769222</v>
      </c>
      <c r="J50" s="48">
        <f t="shared" si="26"/>
        <v>0.05</v>
      </c>
      <c r="K50" s="48">
        <f t="shared" si="27"/>
        <v>0.12</v>
      </c>
      <c r="L50" s="48">
        <f t="shared" si="28"/>
        <v>0.60343047512448422</v>
      </c>
      <c r="M50" s="59">
        <f t="shared" si="29"/>
        <v>-0.21742737032165244</v>
      </c>
      <c r="N50" s="170"/>
      <c r="O50" s="168"/>
      <c r="P50" s="168"/>
      <c r="Q50" s="168"/>
      <c r="R50" s="168"/>
      <c r="S50" s="168"/>
      <c r="T50" s="168"/>
      <c r="U50" s="168"/>
    </row>
    <row r="51" spans="1:24" ht="15" customHeight="1">
      <c r="B51" s="47" t="str">
        <f t="shared" si="18"/>
        <v>Aviation</v>
      </c>
      <c r="C51" s="48">
        <f t="shared" si="19"/>
        <v>7.7777957837227088E-2</v>
      </c>
      <c r="D51" s="49">
        <f t="shared" si="20"/>
        <v>1.4799999999999998</v>
      </c>
      <c r="E51" s="49">
        <f t="shared" si="21"/>
        <v>0.67567567567567577</v>
      </c>
      <c r="F51" s="49">
        <f t="shared" si="22"/>
        <v>1.0685445299107064</v>
      </c>
      <c r="G51" s="48">
        <f t="shared" si="23"/>
        <v>0.11598507462686568</v>
      </c>
      <c r="H51" s="48">
        <f t="shared" si="24"/>
        <v>3.5820895522388055E-2</v>
      </c>
      <c r="I51" s="48">
        <f t="shared" si="25"/>
        <v>0.77910447761194024</v>
      </c>
      <c r="J51" s="48">
        <f t="shared" si="26"/>
        <v>8.5522388059701485E-2</v>
      </c>
      <c r="K51" s="48">
        <f t="shared" si="27"/>
        <v>0.10507462686567165</v>
      </c>
      <c r="L51" s="48">
        <f t="shared" si="28"/>
        <v>0.51463671349624185</v>
      </c>
      <c r="M51" s="59">
        <f t="shared" si="29"/>
        <v>-0.18285854515824776</v>
      </c>
      <c r="N51" s="170"/>
      <c r="O51" s="168"/>
      <c r="P51" s="168"/>
      <c r="Q51" s="168"/>
      <c r="R51" s="168"/>
      <c r="S51" s="168"/>
      <c r="T51" s="168"/>
      <c r="U51" s="168"/>
    </row>
    <row r="52" spans="1:24" ht="15" customHeight="1">
      <c r="B52" s="47" t="str">
        <f t="shared" si="18"/>
        <v>Power &amp; Utilities</v>
      </c>
      <c r="C52" s="48">
        <f t="shared" si="19"/>
        <v>0.17530933937250623</v>
      </c>
      <c r="D52" s="49">
        <f t="shared" si="20"/>
        <v>1.28</v>
      </c>
      <c r="E52" s="49">
        <f t="shared" si="21"/>
        <v>0.78125</v>
      </c>
      <c r="F52" s="49">
        <f t="shared" si="22"/>
        <v>0.92414662046331386</v>
      </c>
      <c r="G52" s="48">
        <f t="shared" si="23"/>
        <v>0.64228444444444432</v>
      </c>
      <c r="H52" s="48">
        <f t="shared" si="24"/>
        <v>0.67698888888888886</v>
      </c>
      <c r="I52" s="48">
        <f t="shared" si="25"/>
        <v>9.9905555555555553E-2</v>
      </c>
      <c r="J52" s="48">
        <f t="shared" si="26"/>
        <v>0.24339444444444441</v>
      </c>
      <c r="K52" s="48">
        <f t="shared" si="27"/>
        <v>3.1488888888888886E-2</v>
      </c>
      <c r="L52" s="48">
        <f t="shared" si="28"/>
        <v>0.92804400019309019</v>
      </c>
      <c r="M52" s="59">
        <f t="shared" si="29"/>
        <v>0.24651950693050284</v>
      </c>
      <c r="N52" s="170"/>
      <c r="O52" s="168"/>
      <c r="P52" s="168"/>
      <c r="Q52" s="168"/>
      <c r="R52" s="168"/>
      <c r="S52" s="168"/>
      <c r="T52" s="168"/>
      <c r="U52" s="168"/>
    </row>
    <row r="53" spans="1:24" ht="15" customHeight="1">
      <c r="B53" s="47" t="str">
        <f t="shared" si="18"/>
        <v>Chemicals</v>
      </c>
      <c r="C53" s="48">
        <f t="shared" si="19"/>
        <v>9.629582965669764E-2</v>
      </c>
      <c r="D53" s="49">
        <f t="shared" si="20"/>
        <v>1.22</v>
      </c>
      <c r="E53" s="49">
        <f t="shared" si="21"/>
        <v>0.81967213114754101</v>
      </c>
      <c r="F53" s="49">
        <f t="shared" si="22"/>
        <v>0.88082724762909592</v>
      </c>
      <c r="G53" s="48">
        <f t="shared" si="23"/>
        <v>0.78600000000000003</v>
      </c>
      <c r="H53" s="48">
        <f t="shared" si="24"/>
        <v>0.23478260869565218</v>
      </c>
      <c r="I53" s="48">
        <f t="shared" si="25"/>
        <v>0.42608695652173911</v>
      </c>
      <c r="J53" s="48">
        <f t="shared" si="26"/>
        <v>0.18</v>
      </c>
      <c r="K53" s="48">
        <f t="shared" si="27"/>
        <v>0.02</v>
      </c>
      <c r="L53" s="48">
        <f t="shared" si="28"/>
        <v>0.38901866341143243</v>
      </c>
      <c r="M53" s="59">
        <f t="shared" si="29"/>
        <v>0.17332373894259218</v>
      </c>
      <c r="N53" s="170" t="s">
        <v>385</v>
      </c>
      <c r="O53" s="168"/>
      <c r="P53" s="168"/>
      <c r="Q53" s="168"/>
      <c r="R53" s="168"/>
      <c r="S53" s="168"/>
      <c r="T53" s="168"/>
      <c r="U53" s="168"/>
    </row>
    <row r="54" spans="1:24" ht="15" customHeight="1">
      <c r="B54" s="47" t="str">
        <f t="shared" si="18"/>
        <v>Shipping</v>
      </c>
      <c r="C54" s="48">
        <f t="shared" si="19"/>
        <v>6.4197520227738933E-2</v>
      </c>
      <c r="D54" s="49">
        <f t="shared" si="20"/>
        <v>1.1599999999999999</v>
      </c>
      <c r="E54" s="49">
        <f t="shared" si="21"/>
        <v>0.86206896551724144</v>
      </c>
      <c r="F54" s="49">
        <f t="shared" si="22"/>
        <v>0.83750787479487809</v>
      </c>
      <c r="G54" s="48">
        <f t="shared" si="23"/>
        <v>0.78600000000000003</v>
      </c>
      <c r="H54" s="48">
        <f t="shared" si="24"/>
        <v>0.29090909090909089</v>
      </c>
      <c r="I54" s="48">
        <f t="shared" si="25"/>
        <v>0.3606060606060606</v>
      </c>
      <c r="J54" s="48">
        <f t="shared" si="26"/>
        <v>0.18</v>
      </c>
      <c r="K54" s="48">
        <f t="shared" si="27"/>
        <v>0.02</v>
      </c>
      <c r="L54" s="48">
        <f t="shared" si="28"/>
        <v>9.3791807182449546E-2</v>
      </c>
      <c r="M54" s="59">
        <f t="shared" si="29"/>
        <v>0.19759503090198041</v>
      </c>
      <c r="N54" s="170"/>
      <c r="O54" s="168"/>
      <c r="P54" s="168"/>
      <c r="Q54" s="168"/>
      <c r="R54" s="168"/>
      <c r="S54" s="168"/>
      <c r="T54" s="168"/>
      <c r="U54" s="168"/>
    </row>
    <row r="55" spans="1:24" ht="15" customHeight="1">
      <c r="B55" s="47" t="str">
        <f t="shared" si="18"/>
        <v>Automotive</v>
      </c>
      <c r="C55" s="48">
        <f t="shared" si="19"/>
        <v>5.6790221257228386E-2</v>
      </c>
      <c r="D55" s="49">
        <f t="shared" si="20"/>
        <v>1.08</v>
      </c>
      <c r="E55" s="49">
        <f t="shared" si="21"/>
        <v>0.92592592592592582</v>
      </c>
      <c r="F55" s="49">
        <f t="shared" si="22"/>
        <v>0.77974871101592103</v>
      </c>
      <c r="G55" s="48">
        <f t="shared" si="23"/>
        <v>0.7281428571428572</v>
      </c>
      <c r="H55" s="48">
        <f t="shared" si="24"/>
        <v>0.42857142857142855</v>
      </c>
      <c r="I55" s="48">
        <f t="shared" si="25"/>
        <v>0.19999999999999998</v>
      </c>
      <c r="J55" s="48">
        <f t="shared" si="26"/>
        <v>0.37285714285714283</v>
      </c>
      <c r="K55" s="48">
        <f t="shared" si="27"/>
        <v>0.02</v>
      </c>
      <c r="L55" s="48">
        <f t="shared" si="28"/>
        <v>0</v>
      </c>
      <c r="M55" s="59">
        <f t="shared" si="29"/>
        <v>0.25853055049046902</v>
      </c>
      <c r="N55" s="170"/>
      <c r="O55" s="168"/>
      <c r="P55" s="168"/>
      <c r="Q55" s="168"/>
      <c r="R55" s="168"/>
      <c r="S55" s="168"/>
      <c r="T55" s="168"/>
      <c r="U55" s="168"/>
    </row>
    <row r="56" spans="1:24" ht="15" customHeight="1">
      <c r="B56" s="47" t="str">
        <f t="shared" si="18"/>
        <v>Agriculture &amp; Food</v>
      </c>
      <c r="C56" s="48">
        <f t="shared" si="19"/>
        <v>5.4321014526120003E-2</v>
      </c>
      <c r="D56" s="49">
        <f t="shared" si="20"/>
        <v>1.0500000000000003</v>
      </c>
      <c r="E56" s="49">
        <f t="shared" si="21"/>
        <v>0.95238095238095222</v>
      </c>
      <c r="F56" s="49">
        <f t="shared" si="22"/>
        <v>0.75808902459881233</v>
      </c>
      <c r="G56" s="48">
        <f t="shared" si="23"/>
        <v>0.79612658227848099</v>
      </c>
      <c r="H56" s="48">
        <f t="shared" si="24"/>
        <v>0.33417721518987337</v>
      </c>
      <c r="I56" s="48">
        <f t="shared" si="25"/>
        <v>0.310126582278481</v>
      </c>
      <c r="J56" s="48">
        <f t="shared" si="26"/>
        <v>0.18</v>
      </c>
      <c r="K56" s="48">
        <f t="shared" si="27"/>
        <v>0.02</v>
      </c>
      <c r="L56" s="48">
        <f t="shared" si="28"/>
        <v>0</v>
      </c>
      <c r="M56" s="59">
        <f t="shared" si="29"/>
        <v>0.22675373491777312</v>
      </c>
      <c r="N56" s="170"/>
      <c r="O56" s="168"/>
      <c r="P56" s="168"/>
      <c r="Q56" s="168"/>
      <c r="R56" s="168"/>
      <c r="S56" s="168"/>
      <c r="T56" s="168"/>
      <c r="U56" s="168"/>
    </row>
    <row r="57" spans="1:24" ht="15" customHeight="1">
      <c r="B57" s="47" t="str">
        <f t="shared" si="18"/>
        <v>Real Estate</v>
      </c>
      <c r="C57" s="48">
        <f t="shared" si="19"/>
        <v>3.7037032793710359E-2</v>
      </c>
      <c r="D57" s="49">
        <f t="shared" si="20"/>
        <v>0.8400000000000003</v>
      </c>
      <c r="E57" s="49">
        <f t="shared" si="21"/>
        <v>1.19047619047619</v>
      </c>
      <c r="F57" s="49">
        <f t="shared" si="22"/>
        <v>0.60647121967904993</v>
      </c>
      <c r="G57" s="48">
        <f t="shared" si="23"/>
        <v>0.86499999999999999</v>
      </c>
      <c r="H57" s="48">
        <f t="shared" si="24"/>
        <v>0.73461538461538456</v>
      </c>
      <c r="I57" s="48">
        <f t="shared" si="25"/>
        <v>6.7307692307692304E-2</v>
      </c>
      <c r="J57" s="48">
        <f t="shared" si="26"/>
        <v>0.45</v>
      </c>
      <c r="K57" s="48">
        <f t="shared" si="27"/>
        <v>0.02</v>
      </c>
      <c r="L57" s="48">
        <f t="shared" si="28"/>
        <v>0</v>
      </c>
      <c r="M57" s="59">
        <f t="shared" si="29"/>
        <v>0.41847162474045019</v>
      </c>
      <c r="N57" s="170"/>
      <c r="O57" s="168"/>
      <c r="P57" s="168"/>
      <c r="Q57" s="168"/>
      <c r="R57" s="168"/>
      <c r="S57" s="168"/>
      <c r="T57" s="168"/>
      <c r="U57" s="168"/>
    </row>
    <row r="58" spans="1:24" ht="15" customHeight="1">
      <c r="B58" s="47" t="str">
        <f t="shared" si="18"/>
        <v>Retail &amp; Services</v>
      </c>
      <c r="C58" s="48">
        <f t="shared" si="19"/>
        <v>1.6049362106475677E-2</v>
      </c>
      <c r="D58" s="49">
        <f t="shared" si="20"/>
        <v>0.79</v>
      </c>
      <c r="E58" s="49">
        <f t="shared" si="21"/>
        <v>1.2658227848101264</v>
      </c>
      <c r="F58" s="49">
        <f t="shared" si="22"/>
        <v>0.57037174231720156</v>
      </c>
      <c r="G58" s="48">
        <f t="shared" si="23"/>
        <v>0.86499999999999999</v>
      </c>
      <c r="H58" s="48">
        <f t="shared" si="24"/>
        <v>0.56666666666666665</v>
      </c>
      <c r="I58" s="48">
        <f t="shared" si="25"/>
        <v>0.16333333333333333</v>
      </c>
      <c r="J58" s="48">
        <f t="shared" si="26"/>
        <v>0.45</v>
      </c>
      <c r="K58" s="48">
        <f t="shared" si="27"/>
        <v>0.02</v>
      </c>
      <c r="L58" s="48">
        <f t="shared" si="28"/>
        <v>0</v>
      </c>
      <c r="M58" s="59">
        <f t="shared" si="29"/>
        <v>0.38069423865241975</v>
      </c>
      <c r="N58" s="170"/>
      <c r="O58" s="168"/>
      <c r="P58" s="168"/>
      <c r="Q58" s="168"/>
      <c r="R58" s="168"/>
      <c r="S58" s="168"/>
      <c r="T58" s="168"/>
      <c r="U58" s="168"/>
    </row>
    <row r="59" spans="1:24" ht="26" customHeight="1"/>
    <row r="60" spans="1:24" ht="22" customHeight="1">
      <c r="A60" t="s">
        <v>11</v>
      </c>
      <c r="B60" s="42" t="s">
        <v>386</v>
      </c>
      <c r="C60" s="35"/>
      <c r="D60" s="39"/>
      <c r="E60" s="40"/>
      <c r="F60" s="40"/>
      <c r="G60" s="40"/>
      <c r="H60" s="40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</row>
    <row r="61" spans="1:24" ht="32" customHeight="1">
      <c r="B61" s="106" t="s">
        <v>387</v>
      </c>
      <c r="C61" s="106" t="s">
        <v>388</v>
      </c>
      <c r="D61" s="107" t="s">
        <v>389</v>
      </c>
      <c r="E61" s="108" t="s">
        <v>390</v>
      </c>
      <c r="F61" s="108" t="s">
        <v>391</v>
      </c>
      <c r="G61" s="108" t="s">
        <v>392</v>
      </c>
      <c r="H61" s="108" t="s">
        <v>393</v>
      </c>
      <c r="I61" s="109" t="s">
        <v>394</v>
      </c>
      <c r="J61" s="109" t="s">
        <v>395</v>
      </c>
      <c r="K61" s="109" t="s">
        <v>396</v>
      </c>
      <c r="L61" s="109" t="s">
        <v>397</v>
      </c>
      <c r="M61" s="109" t="s">
        <v>398</v>
      </c>
      <c r="N61" s="109" t="s">
        <v>399</v>
      </c>
      <c r="O61" s="109" t="s">
        <v>400</v>
      </c>
      <c r="P61" s="109" t="s">
        <v>401</v>
      </c>
      <c r="Q61" s="109" t="s">
        <v>402</v>
      </c>
      <c r="R61" s="109" t="s">
        <v>403</v>
      </c>
      <c r="S61" s="109" t="s">
        <v>404</v>
      </c>
      <c r="T61" s="109"/>
      <c r="U61" s="109"/>
      <c r="V61" s="109" t="s">
        <v>276</v>
      </c>
      <c r="W61" s="109"/>
      <c r="X61" s="109"/>
    </row>
    <row r="62" spans="1:24" ht="16" customHeight="1">
      <c r="B62" s="47" t="s">
        <v>405</v>
      </c>
      <c r="C62" s="44">
        <v>0.38416044389184145</v>
      </c>
      <c r="D62" s="43">
        <v>55</v>
      </c>
      <c r="E62" s="33">
        <v>0.12130357149542309</v>
      </c>
      <c r="F62" s="33">
        <v>2.2712786898257932E-2</v>
      </c>
      <c r="G62" s="33">
        <v>0.28000000000000003</v>
      </c>
      <c r="H62" s="33">
        <v>0.52</v>
      </c>
      <c r="I62" s="33">
        <v>0.35</v>
      </c>
      <c r="J62" s="33">
        <v>0.26</v>
      </c>
      <c r="K62" s="33">
        <v>0.35</v>
      </c>
      <c r="L62" s="33">
        <v>0.4</v>
      </c>
      <c r="M62" s="33">
        <v>0.12</v>
      </c>
      <c r="N62" s="33">
        <v>0.35</v>
      </c>
      <c r="O62" s="33">
        <v>0.15</v>
      </c>
      <c r="P62" s="33">
        <v>0.18</v>
      </c>
      <c r="Q62" s="33">
        <v>0.55000000000000004</v>
      </c>
      <c r="R62" s="33">
        <v>0.3</v>
      </c>
      <c r="S62" s="33">
        <v>0.35</v>
      </c>
      <c r="T62" s="51" t="s">
        <v>406</v>
      </c>
    </row>
    <row r="63" spans="1:24" ht="16" customHeight="1">
      <c r="B63" s="47" t="s">
        <v>407</v>
      </c>
      <c r="C63" s="44">
        <v>1.267729464843077</v>
      </c>
      <c r="D63" s="43">
        <v>18</v>
      </c>
      <c r="E63" s="33">
        <v>0.1647265188755011</v>
      </c>
      <c r="F63" s="33">
        <v>3.178275662597202E-2</v>
      </c>
      <c r="G63" s="33">
        <v>0.28000000000000003</v>
      </c>
      <c r="H63" s="33">
        <v>0.52</v>
      </c>
      <c r="I63" s="33">
        <v>0.35</v>
      </c>
      <c r="J63" s="33">
        <v>0.26</v>
      </c>
      <c r="K63" s="33">
        <v>0.35</v>
      </c>
      <c r="L63" s="33">
        <v>0.4</v>
      </c>
      <c r="M63" s="33">
        <v>0.12</v>
      </c>
      <c r="N63" s="33">
        <v>0.35</v>
      </c>
      <c r="O63" s="33">
        <v>0.15</v>
      </c>
      <c r="P63" s="33">
        <v>0.18</v>
      </c>
      <c r="Q63" s="33">
        <v>0.55000000000000004</v>
      </c>
      <c r="R63" s="33">
        <v>0.3</v>
      </c>
      <c r="S63" s="33">
        <v>0.35</v>
      </c>
      <c r="T63" s="51" t="s">
        <v>408</v>
      </c>
    </row>
    <row r="64" spans="1:24" ht="16" customHeight="1">
      <c r="B64" s="47" t="s">
        <v>409</v>
      </c>
      <c r="C64" s="44">
        <v>1.8823861750700237</v>
      </c>
      <c r="D64" s="43">
        <v>10</v>
      </c>
      <c r="E64" s="33">
        <v>0.20926803792591003</v>
      </c>
      <c r="F64" s="33">
        <v>5.2845436719720376E-2</v>
      </c>
      <c r="G64" s="33">
        <v>0.28000000000000003</v>
      </c>
      <c r="H64" s="33">
        <v>0.52</v>
      </c>
      <c r="I64" s="33">
        <v>0.35</v>
      </c>
      <c r="J64" s="33">
        <v>0.26</v>
      </c>
      <c r="K64" s="33">
        <v>0.35</v>
      </c>
      <c r="L64" s="33">
        <v>0.4</v>
      </c>
      <c r="M64" s="33">
        <v>0.12</v>
      </c>
      <c r="N64" s="33">
        <v>0.35</v>
      </c>
      <c r="O64" s="33">
        <v>0.15</v>
      </c>
      <c r="P64" s="33">
        <v>0.18</v>
      </c>
      <c r="Q64" s="33">
        <v>0.55000000000000004</v>
      </c>
      <c r="R64" s="33">
        <v>0.3</v>
      </c>
      <c r="S64" s="33">
        <v>0.35</v>
      </c>
      <c r="T64" s="51" t="s">
        <v>410</v>
      </c>
    </row>
    <row r="65" spans="1:23" ht="26" customHeight="1"/>
    <row r="66" spans="1:23" ht="22" customHeight="1">
      <c r="A66" t="s">
        <v>11</v>
      </c>
      <c r="B66" s="42" t="s">
        <v>411</v>
      </c>
      <c r="C66" s="35"/>
      <c r="D66" s="39"/>
      <c r="E66" s="40"/>
      <c r="F66" s="40"/>
      <c r="G66" s="40"/>
      <c r="H66" s="40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1"/>
      <c r="U66" s="41"/>
      <c r="V66" s="41"/>
      <c r="W66" s="41"/>
    </row>
    <row r="67" spans="1:23" ht="32" customHeight="1">
      <c r="B67" s="106" t="s">
        <v>387</v>
      </c>
      <c r="C67" s="106" t="s">
        <v>14</v>
      </c>
      <c r="D67" s="107" t="s">
        <v>334</v>
      </c>
      <c r="E67" s="108" t="s">
        <v>412</v>
      </c>
      <c r="F67" s="108" t="s">
        <v>413</v>
      </c>
      <c r="G67" s="108" t="s">
        <v>380</v>
      </c>
      <c r="H67" s="108" t="s">
        <v>382</v>
      </c>
      <c r="I67" s="109" t="s">
        <v>378</v>
      </c>
      <c r="J67" s="109" t="s">
        <v>381</v>
      </c>
      <c r="K67" s="109" t="s">
        <v>414</v>
      </c>
      <c r="L67" s="109" t="s">
        <v>415</v>
      </c>
      <c r="M67" s="109" t="s">
        <v>416</v>
      </c>
      <c r="N67" s="109" t="s">
        <v>417</v>
      </c>
      <c r="O67" s="109" t="s">
        <v>418</v>
      </c>
      <c r="P67" s="109" t="s">
        <v>276</v>
      </c>
      <c r="Q67" s="109"/>
      <c r="R67" s="109"/>
      <c r="S67" s="109"/>
      <c r="T67" s="109"/>
      <c r="U67" s="109"/>
      <c r="V67" s="109"/>
      <c r="W67" s="109"/>
    </row>
    <row r="68" spans="1:23" ht="16" customHeight="1">
      <c r="B68" s="47" t="s">
        <v>405</v>
      </c>
      <c r="C68" s="47" t="str">
        <f t="shared" ref="C68:D78" si="30">B48</f>
        <v>Oil &amp; Gas</v>
      </c>
      <c r="D68" s="48">
        <f t="shared" si="30"/>
        <v>0.20370355829552153</v>
      </c>
      <c r="E68" s="52">
        <f t="shared" ref="E68:E78" si="31">$D$62</f>
        <v>55</v>
      </c>
      <c r="F68" s="48">
        <f t="shared" ref="F68:F78" si="32">L48</f>
        <v>1</v>
      </c>
      <c r="G68" s="48">
        <f t="shared" ref="G68:G78" si="33">I48</f>
        <v>0.92734374999999991</v>
      </c>
      <c r="H68" s="48">
        <f t="shared" ref="H68:H78" si="34">K48</f>
        <v>0.35</v>
      </c>
      <c r="I68" s="48">
        <f t="shared" ref="I68:I78" si="35">G48</f>
        <v>5.0234375000000005E-2</v>
      </c>
      <c r="J68" s="48">
        <f t="shared" ref="J68:J78" si="36">J48</f>
        <v>0.05</v>
      </c>
      <c r="K68" s="48">
        <f>MAX(0.35,MIN(2,1+$Q$62*(F68-SUMPRODUCT($D$68:$D$78,$F$68:$F$78))+$R$62*(G68-SUMPRODUCT($D$68:$D$78,$G$68:$G$78))+$O$62*(H68-SUMPRODUCT($D$68:$D$78,$H$68:$H$78))-$S$62*(I68-SUMPRODUCT($D$68:$D$78,$I$68:$I$78))-$P$62*(J68-SUMPRODUCT($D$68:$D$78,$J$68:$J$78))))</f>
        <v>1.5085935838013895</v>
      </c>
      <c r="L68" s="48">
        <f t="shared" ref="L68:L78" si="37">SUMPRODUCT($D$68:$D$78,$K$68:$K$78)</f>
        <v>1.0025150161097367</v>
      </c>
      <c r="M68" s="60">
        <f t="shared" ref="M68:M100" si="38">E68*K68/L68</f>
        <v>82.764493075676896</v>
      </c>
      <c r="N68" s="52">
        <f t="shared" ref="N68:N100" si="39">D68*M68</f>
        <v>16.859421740040435</v>
      </c>
      <c r="O68" s="53" t="str">
        <f t="shared" ref="O68:O78" si="40">IF(ABS(SUM($N$68:$N$78)-$E$68)&lt;0.01,"Passed","Failed")</f>
        <v>Passed</v>
      </c>
      <c r="P68" s="167"/>
      <c r="Q68" s="167"/>
      <c r="R68" s="167"/>
      <c r="S68" s="167"/>
      <c r="T68" s="167"/>
      <c r="U68" s="167"/>
      <c r="V68" s="167"/>
      <c r="W68" s="167"/>
    </row>
    <row r="69" spans="1:23" ht="16" customHeight="1">
      <c r="B69" s="47" t="s">
        <v>405</v>
      </c>
      <c r="C69" s="47" t="str">
        <f t="shared" si="30"/>
        <v>Cement</v>
      </c>
      <c r="D69" s="48">
        <f t="shared" si="30"/>
        <v>9.6295956467700491E-2</v>
      </c>
      <c r="E69" s="52">
        <f t="shared" si="31"/>
        <v>55</v>
      </c>
      <c r="F69" s="48">
        <f t="shared" si="32"/>
        <v>0.96908315533971423</v>
      </c>
      <c r="G69" s="48">
        <f t="shared" si="33"/>
        <v>0.79999999999999993</v>
      </c>
      <c r="H69" s="48">
        <f t="shared" si="34"/>
        <v>0.10709677419354838</v>
      </c>
      <c r="I69" s="48">
        <f t="shared" si="35"/>
        <v>0.12087096774193548</v>
      </c>
      <c r="J69" s="48">
        <f t="shared" si="36"/>
        <v>8.4193548387096778E-2</v>
      </c>
      <c r="K69" s="48">
        <f t="shared" ref="K69:K78" si="41">MAX(0.35,MIN(2,1+$Q$62*(F69-SUMPRODUCT($D$68:$D$78,$F$68:$F$78))+$R$62*(G69-SUMPRODUCT($D$68:$D$78,$G$68:$G$78))+$O$62*(H69-SUMPRODUCT($D$68:$D$78,$H$68:$H$78))-$S$62*(I69-SUMPRODUCT($D$68:$D$78,$I$68:$I$78))-$P$62*(J69-SUMPRODUCT($D$68:$D$78,$J$68:$J$78))))</f>
        <v>1.38607306419791</v>
      </c>
      <c r="L69" s="48">
        <f t="shared" si="37"/>
        <v>1.0025150161097367</v>
      </c>
      <c r="M69" s="60">
        <f t="shared" si="38"/>
        <v>76.04276973996005</v>
      </c>
      <c r="N69" s="52">
        <f t="shared" si="39"/>
        <v>7.3226112445625651</v>
      </c>
      <c r="O69" s="53" t="str">
        <f t="shared" si="40"/>
        <v>Passed</v>
      </c>
      <c r="P69" s="167"/>
      <c r="Q69" s="167"/>
      <c r="R69" s="167"/>
      <c r="S69" s="167"/>
      <c r="T69" s="167"/>
      <c r="U69" s="167"/>
      <c r="V69" s="167"/>
      <c r="W69" s="167"/>
    </row>
    <row r="70" spans="1:23" ht="16" customHeight="1">
      <c r="B70" s="47" t="s">
        <v>405</v>
      </c>
      <c r="C70" s="47" t="str">
        <f t="shared" si="30"/>
        <v>Steel</v>
      </c>
      <c r="D70" s="48">
        <f t="shared" si="30"/>
        <v>0.12222220745907365</v>
      </c>
      <c r="E70" s="52">
        <f t="shared" si="31"/>
        <v>55</v>
      </c>
      <c r="F70" s="48">
        <f t="shared" si="32"/>
        <v>0.60343047512448422</v>
      </c>
      <c r="G70" s="48">
        <f t="shared" si="33"/>
        <v>0.74230769230769222</v>
      </c>
      <c r="H70" s="48">
        <f t="shared" si="34"/>
        <v>0.12</v>
      </c>
      <c r="I70" s="48">
        <f t="shared" si="35"/>
        <v>6.0000000000000005E-2</v>
      </c>
      <c r="J70" s="48">
        <f t="shared" si="36"/>
        <v>0.05</v>
      </c>
      <c r="K70" s="48">
        <f t="shared" si="41"/>
        <v>1.1970515590621635</v>
      </c>
      <c r="L70" s="48">
        <f t="shared" si="37"/>
        <v>1.0025150161097367</v>
      </c>
      <c r="M70" s="60">
        <f t="shared" si="38"/>
        <v>65.672667930604135</v>
      </c>
      <c r="N70" s="52">
        <f t="shared" si="39"/>
        <v>8.0266584442051521</v>
      </c>
      <c r="O70" s="53" t="str">
        <f t="shared" si="40"/>
        <v>Passed</v>
      </c>
      <c r="P70" s="167"/>
      <c r="Q70" s="167"/>
      <c r="R70" s="167"/>
      <c r="S70" s="167"/>
      <c r="T70" s="167"/>
      <c r="U70" s="167"/>
      <c r="V70" s="167"/>
      <c r="W70" s="167"/>
    </row>
    <row r="71" spans="1:23" ht="16" customHeight="1">
      <c r="B71" s="47" t="s">
        <v>405</v>
      </c>
      <c r="C71" s="47" t="str">
        <f t="shared" si="30"/>
        <v>Aviation</v>
      </c>
      <c r="D71" s="48">
        <f t="shared" si="30"/>
        <v>7.7777957837227088E-2</v>
      </c>
      <c r="E71" s="52">
        <f t="shared" si="31"/>
        <v>55</v>
      </c>
      <c r="F71" s="48">
        <f t="shared" si="32"/>
        <v>0.51463671349624185</v>
      </c>
      <c r="G71" s="48">
        <f t="shared" si="33"/>
        <v>0.77910447761194024</v>
      </c>
      <c r="H71" s="48">
        <f t="shared" si="34"/>
        <v>0.10507462686567165</v>
      </c>
      <c r="I71" s="48">
        <f t="shared" si="35"/>
        <v>0.11598507462686568</v>
      </c>
      <c r="J71" s="48">
        <f t="shared" si="36"/>
        <v>8.5522388059701485E-2</v>
      </c>
      <c r="K71" s="48">
        <f t="shared" si="41"/>
        <v>1.1310264138176063</v>
      </c>
      <c r="L71" s="48">
        <f t="shared" si="37"/>
        <v>1.0025150161097367</v>
      </c>
      <c r="M71" s="60">
        <f t="shared" si="38"/>
        <v>62.050395016885354</v>
      </c>
      <c r="N71" s="52">
        <f t="shared" si="39"/>
        <v>4.826153007406595</v>
      </c>
      <c r="O71" s="53" t="str">
        <f t="shared" si="40"/>
        <v>Passed</v>
      </c>
      <c r="P71" s="167"/>
      <c r="Q71" s="167"/>
      <c r="R71" s="167"/>
      <c r="S71" s="167"/>
      <c r="T71" s="167"/>
      <c r="U71" s="167"/>
      <c r="V71" s="167"/>
      <c r="W71" s="167"/>
    </row>
    <row r="72" spans="1:23" ht="16" customHeight="1">
      <c r="B72" s="47" t="s">
        <v>405</v>
      </c>
      <c r="C72" s="47" t="str">
        <f t="shared" si="30"/>
        <v>Power &amp; Utilities</v>
      </c>
      <c r="D72" s="48">
        <f t="shared" si="30"/>
        <v>0.17530933937250623</v>
      </c>
      <c r="E72" s="52">
        <f t="shared" si="31"/>
        <v>55</v>
      </c>
      <c r="F72" s="48">
        <f t="shared" si="32"/>
        <v>0.92804400019309019</v>
      </c>
      <c r="G72" s="48">
        <f t="shared" si="33"/>
        <v>9.9905555555555553E-2</v>
      </c>
      <c r="H72" s="48">
        <f t="shared" si="34"/>
        <v>3.1488888888888886E-2</v>
      </c>
      <c r="I72" s="48">
        <f t="shared" si="35"/>
        <v>0.64228444444444432</v>
      </c>
      <c r="J72" s="48">
        <f t="shared" si="36"/>
        <v>0.24339444444444441</v>
      </c>
      <c r="K72" s="48">
        <f t="shared" si="41"/>
        <v>0.93098113460203402</v>
      </c>
      <c r="L72" s="48">
        <f t="shared" si="37"/>
        <v>1.0025150161097367</v>
      </c>
      <c r="M72" s="60">
        <f t="shared" si="38"/>
        <v>51.075506680996206</v>
      </c>
      <c r="N72" s="52">
        <f t="shared" si="39"/>
        <v>8.9540133343614734</v>
      </c>
      <c r="O72" s="53" t="str">
        <f t="shared" si="40"/>
        <v>Passed</v>
      </c>
      <c r="P72" s="167"/>
      <c r="Q72" s="167"/>
      <c r="R72" s="167"/>
      <c r="S72" s="167"/>
      <c r="T72" s="167"/>
      <c r="U72" s="167"/>
      <c r="V72" s="167"/>
      <c r="W72" s="167"/>
    </row>
    <row r="73" spans="1:23" ht="16" customHeight="1">
      <c r="B73" s="47" t="s">
        <v>405</v>
      </c>
      <c r="C73" s="47" t="str">
        <f t="shared" si="30"/>
        <v>Chemicals</v>
      </c>
      <c r="D73" s="48">
        <f t="shared" si="30"/>
        <v>9.629582965669764E-2</v>
      </c>
      <c r="E73" s="52">
        <f t="shared" si="31"/>
        <v>55</v>
      </c>
      <c r="F73" s="48">
        <f t="shared" si="32"/>
        <v>0.38901866341143243</v>
      </c>
      <c r="G73" s="48">
        <f t="shared" si="33"/>
        <v>0.42608695652173911</v>
      </c>
      <c r="H73" s="48">
        <f t="shared" si="34"/>
        <v>0.02</v>
      </c>
      <c r="I73" s="48">
        <f t="shared" si="35"/>
        <v>0.78600000000000003</v>
      </c>
      <c r="J73" s="48">
        <f t="shared" si="36"/>
        <v>0.18</v>
      </c>
      <c r="K73" s="48">
        <f t="shared" si="41"/>
        <v>0.69175884188419945</v>
      </c>
      <c r="L73" s="48">
        <f t="shared" si="37"/>
        <v>1.0025150161097367</v>
      </c>
      <c r="M73" s="60">
        <f t="shared" si="38"/>
        <v>37.951288202416634</v>
      </c>
      <c r="N73" s="52">
        <f t="shared" si="39"/>
        <v>3.6545507839921512</v>
      </c>
      <c r="O73" s="53" t="str">
        <f t="shared" si="40"/>
        <v>Passed</v>
      </c>
      <c r="P73" s="167"/>
      <c r="Q73" s="167"/>
      <c r="R73" s="167"/>
      <c r="S73" s="167"/>
      <c r="T73" s="167"/>
      <c r="U73" s="167"/>
      <c r="V73" s="167"/>
      <c r="W73" s="167"/>
    </row>
    <row r="74" spans="1:23" ht="16" customHeight="1">
      <c r="B74" s="47" t="s">
        <v>405</v>
      </c>
      <c r="C74" s="47" t="str">
        <f t="shared" si="30"/>
        <v>Shipping</v>
      </c>
      <c r="D74" s="48">
        <f t="shared" si="30"/>
        <v>6.4197520227738933E-2</v>
      </c>
      <c r="E74" s="52">
        <f t="shared" si="31"/>
        <v>55</v>
      </c>
      <c r="F74" s="48">
        <f t="shared" si="32"/>
        <v>9.3791807182449546E-2</v>
      </c>
      <c r="G74" s="48">
        <f t="shared" si="33"/>
        <v>0.3606060606060606</v>
      </c>
      <c r="H74" s="48">
        <f t="shared" si="34"/>
        <v>0.02</v>
      </c>
      <c r="I74" s="48">
        <f t="shared" si="35"/>
        <v>0.78600000000000003</v>
      </c>
      <c r="J74" s="48">
        <f t="shared" si="36"/>
        <v>0.18</v>
      </c>
      <c r="K74" s="48">
        <f t="shared" si="41"/>
        <v>0.50973980218355519</v>
      </c>
      <c r="L74" s="48">
        <f t="shared" si="37"/>
        <v>1.0025150161097367</v>
      </c>
      <c r="M74" s="60">
        <f t="shared" si="38"/>
        <v>27.96535579974466</v>
      </c>
      <c r="N74" s="52">
        <f t="shared" si="39"/>
        <v>1.7953064946300241</v>
      </c>
      <c r="O74" s="53" t="str">
        <f t="shared" si="40"/>
        <v>Passed</v>
      </c>
      <c r="P74" s="167"/>
      <c r="Q74" s="167"/>
      <c r="R74" s="167"/>
      <c r="S74" s="167"/>
      <c r="T74" s="167"/>
      <c r="U74" s="167"/>
      <c r="V74" s="167"/>
      <c r="W74" s="167"/>
    </row>
    <row r="75" spans="1:23" ht="16" customHeight="1">
      <c r="B75" s="47" t="s">
        <v>405</v>
      </c>
      <c r="C75" s="47" t="str">
        <f t="shared" si="30"/>
        <v>Automotive</v>
      </c>
      <c r="D75" s="48">
        <f t="shared" si="30"/>
        <v>5.6790221257228386E-2</v>
      </c>
      <c r="E75" s="52">
        <f t="shared" si="31"/>
        <v>55</v>
      </c>
      <c r="F75" s="48">
        <f t="shared" si="32"/>
        <v>0</v>
      </c>
      <c r="G75" s="48">
        <f t="shared" si="33"/>
        <v>0.19999999999999998</v>
      </c>
      <c r="H75" s="48">
        <f t="shared" si="34"/>
        <v>0.02</v>
      </c>
      <c r="I75" s="48">
        <f t="shared" si="35"/>
        <v>0.7281428571428572</v>
      </c>
      <c r="J75" s="48">
        <f t="shared" si="36"/>
        <v>0.37285714285714283</v>
      </c>
      <c r="K75" s="48">
        <f t="shared" si="41"/>
        <v>0.39550820433710421</v>
      </c>
      <c r="L75" s="48">
        <f t="shared" si="37"/>
        <v>1.0025150161097367</v>
      </c>
      <c r="M75" s="60">
        <f t="shared" si="38"/>
        <v>21.698379464632001</v>
      </c>
      <c r="N75" s="52">
        <f t="shared" si="39"/>
        <v>1.2322557707197521</v>
      </c>
      <c r="O75" s="53" t="str">
        <f t="shared" si="40"/>
        <v>Passed</v>
      </c>
      <c r="P75" s="167"/>
      <c r="Q75" s="167"/>
      <c r="R75" s="167"/>
      <c r="S75" s="167"/>
      <c r="T75" s="167"/>
      <c r="U75" s="167"/>
      <c r="V75" s="167"/>
      <c r="W75" s="167"/>
    </row>
    <row r="76" spans="1:23" ht="16" customHeight="1">
      <c r="B76" s="47" t="s">
        <v>405</v>
      </c>
      <c r="C76" s="47" t="str">
        <f t="shared" si="30"/>
        <v>Agriculture &amp; Food</v>
      </c>
      <c r="D76" s="48">
        <f t="shared" si="30"/>
        <v>5.4321014526120003E-2</v>
      </c>
      <c r="E76" s="52">
        <f t="shared" si="31"/>
        <v>55</v>
      </c>
      <c r="F76" s="48">
        <f t="shared" si="32"/>
        <v>0</v>
      </c>
      <c r="G76" s="48">
        <f t="shared" si="33"/>
        <v>0.310126582278481</v>
      </c>
      <c r="H76" s="48">
        <f t="shared" si="34"/>
        <v>0.02</v>
      </c>
      <c r="I76" s="48">
        <f t="shared" si="35"/>
        <v>0.79612658227848099</v>
      </c>
      <c r="J76" s="48">
        <f t="shared" si="36"/>
        <v>0.18</v>
      </c>
      <c r="K76" s="48">
        <f t="shared" si="41"/>
        <v>0.43946616093746582</v>
      </c>
      <c r="L76" s="48">
        <f t="shared" si="37"/>
        <v>1.0025150161097367</v>
      </c>
      <c r="M76" s="60">
        <f t="shared" si="38"/>
        <v>24.110001808606196</v>
      </c>
      <c r="N76" s="52">
        <f t="shared" si="39"/>
        <v>1.3096797584700768</v>
      </c>
      <c r="O76" s="53" t="str">
        <f t="shared" si="40"/>
        <v>Passed</v>
      </c>
      <c r="P76" s="167"/>
      <c r="Q76" s="167"/>
      <c r="R76" s="167"/>
      <c r="S76" s="167"/>
      <c r="T76" s="167"/>
      <c r="U76" s="167"/>
      <c r="V76" s="167"/>
      <c r="W76" s="167"/>
    </row>
    <row r="77" spans="1:23" ht="16" customHeight="1">
      <c r="B77" s="47" t="s">
        <v>405</v>
      </c>
      <c r="C77" s="47" t="str">
        <f t="shared" si="30"/>
        <v>Real Estate</v>
      </c>
      <c r="D77" s="48">
        <f t="shared" si="30"/>
        <v>3.7037032793710359E-2</v>
      </c>
      <c r="E77" s="52">
        <f t="shared" si="31"/>
        <v>55</v>
      </c>
      <c r="F77" s="48">
        <f t="shared" si="32"/>
        <v>0</v>
      </c>
      <c r="G77" s="48">
        <f t="shared" si="33"/>
        <v>6.7307692307692304E-2</v>
      </c>
      <c r="H77" s="48">
        <f t="shared" si="34"/>
        <v>0.02</v>
      </c>
      <c r="I77" s="48">
        <f t="shared" si="35"/>
        <v>0.86499999999999999</v>
      </c>
      <c r="J77" s="48">
        <f t="shared" si="36"/>
        <v>0.45</v>
      </c>
      <c r="K77" s="48">
        <f t="shared" si="41"/>
        <v>0.35</v>
      </c>
      <c r="L77" s="48">
        <f t="shared" si="37"/>
        <v>1.0025150161097367</v>
      </c>
      <c r="M77" s="60">
        <f t="shared" si="38"/>
        <v>19.201707396563194</v>
      </c>
      <c r="N77" s="52">
        <f t="shared" si="39"/>
        <v>0.71117426654174176</v>
      </c>
      <c r="O77" s="53" t="str">
        <f t="shared" si="40"/>
        <v>Passed</v>
      </c>
      <c r="P77" s="167"/>
      <c r="Q77" s="167"/>
      <c r="R77" s="167"/>
      <c r="S77" s="167"/>
      <c r="T77" s="167"/>
      <c r="U77" s="167"/>
      <c r="V77" s="167"/>
      <c r="W77" s="167"/>
    </row>
    <row r="78" spans="1:23" ht="16" customHeight="1">
      <c r="B78" s="47" t="s">
        <v>405</v>
      </c>
      <c r="C78" s="47" t="str">
        <f t="shared" si="30"/>
        <v>Retail &amp; Services</v>
      </c>
      <c r="D78" s="48">
        <f t="shared" si="30"/>
        <v>1.6049362106475677E-2</v>
      </c>
      <c r="E78" s="52">
        <f t="shared" si="31"/>
        <v>55</v>
      </c>
      <c r="F78" s="48">
        <f t="shared" si="32"/>
        <v>0</v>
      </c>
      <c r="G78" s="48">
        <f t="shared" si="33"/>
        <v>0.16333333333333333</v>
      </c>
      <c r="H78" s="48">
        <f t="shared" si="34"/>
        <v>0.02</v>
      </c>
      <c r="I78" s="48">
        <f t="shared" si="35"/>
        <v>0.86499999999999999</v>
      </c>
      <c r="J78" s="48">
        <f t="shared" si="36"/>
        <v>0.45</v>
      </c>
      <c r="K78" s="48">
        <f t="shared" si="41"/>
        <v>0.35</v>
      </c>
      <c r="L78" s="48">
        <f t="shared" si="37"/>
        <v>1.0025150161097367</v>
      </c>
      <c r="M78" s="60">
        <f t="shared" si="38"/>
        <v>19.201707396563194</v>
      </c>
      <c r="N78" s="52">
        <f t="shared" si="39"/>
        <v>0.30817515507003501</v>
      </c>
      <c r="O78" s="53" t="str">
        <f t="shared" si="40"/>
        <v>Passed</v>
      </c>
      <c r="P78" s="167"/>
      <c r="Q78" s="167"/>
      <c r="R78" s="167"/>
      <c r="S78" s="167"/>
      <c r="T78" s="167"/>
      <c r="U78" s="167"/>
      <c r="V78" s="167"/>
      <c r="W78" s="167"/>
    </row>
    <row r="79" spans="1:23" ht="16" customHeight="1">
      <c r="B79" s="47" t="s">
        <v>407</v>
      </c>
      <c r="C79" s="47" t="str">
        <f t="shared" ref="C79:D89" si="42">B48</f>
        <v>Oil &amp; Gas</v>
      </c>
      <c r="D79" s="48">
        <f t="shared" si="42"/>
        <v>0.20370355829552153</v>
      </c>
      <c r="E79" s="52">
        <f t="shared" ref="E79:E89" si="43">$D$63</f>
        <v>18</v>
      </c>
      <c r="F79" s="48">
        <f t="shared" ref="F79:F89" si="44">L48</f>
        <v>1</v>
      </c>
      <c r="G79" s="48">
        <f t="shared" ref="G79:G89" si="45">I48</f>
        <v>0.92734374999999991</v>
      </c>
      <c r="H79" s="48">
        <f t="shared" ref="H79:H89" si="46">K48</f>
        <v>0.35</v>
      </c>
      <c r="I79" s="48">
        <f t="shared" ref="I79:I89" si="47">G48</f>
        <v>5.0234375000000005E-2</v>
      </c>
      <c r="J79" s="48">
        <f t="shared" ref="J79:J89" si="48">J48</f>
        <v>0.05</v>
      </c>
      <c r="K79" s="48">
        <f t="shared" ref="K79:K89" si="49">MAX(0.35,MIN(2,1+$Q$63*(F79-SUMPRODUCT($D$79:$D$89,$F$79:$F$89))+$R$63*(G79-SUMPRODUCT($D$79:$D$89,$G$79:$G$89))+$O$63*(H79-SUMPRODUCT($D$79:$D$89,$H$79:$H$89))-$S$63*(I79-SUMPRODUCT($D$79:$D$89,$I$79:$I$89))-$P$63*(J79-SUMPRODUCT($D$79:$D$89,$J$79:$J$89))))</f>
        <v>1.5085935838013895</v>
      </c>
      <c r="L79" s="48">
        <f t="shared" ref="L79:L89" si="50">SUMPRODUCT($D$79:$D$89,$K$79:$K$89)</f>
        <v>1.0025150161097367</v>
      </c>
      <c r="M79" s="60">
        <f t="shared" si="38"/>
        <v>27.086561370221531</v>
      </c>
      <c r="N79" s="52">
        <f t="shared" si="39"/>
        <v>5.5176289331041435</v>
      </c>
      <c r="O79" s="53" t="str">
        <f t="shared" ref="O79:O89" si="51">IF(ABS(SUM($N$79:$N$89)-$E$79)&lt;0.01,"Passed","Failed")</f>
        <v>Passed</v>
      </c>
      <c r="P79" s="167"/>
      <c r="Q79" s="167"/>
      <c r="R79" s="167"/>
      <c r="S79" s="167"/>
      <c r="T79" s="167"/>
      <c r="U79" s="167"/>
      <c r="V79" s="167"/>
      <c r="W79" s="167"/>
    </row>
    <row r="80" spans="1:23" ht="16" customHeight="1">
      <c r="B80" s="47" t="s">
        <v>407</v>
      </c>
      <c r="C80" s="47" t="str">
        <f t="shared" si="42"/>
        <v>Cement</v>
      </c>
      <c r="D80" s="48">
        <f t="shared" si="42"/>
        <v>9.6295956467700491E-2</v>
      </c>
      <c r="E80" s="52">
        <f t="shared" si="43"/>
        <v>18</v>
      </c>
      <c r="F80" s="48">
        <f t="shared" si="44"/>
        <v>0.96908315533971423</v>
      </c>
      <c r="G80" s="48">
        <f t="shared" si="45"/>
        <v>0.79999999999999993</v>
      </c>
      <c r="H80" s="48">
        <f t="shared" si="46"/>
        <v>0.10709677419354838</v>
      </c>
      <c r="I80" s="48">
        <f t="shared" si="47"/>
        <v>0.12087096774193548</v>
      </c>
      <c r="J80" s="48">
        <f t="shared" si="48"/>
        <v>8.4193548387096778E-2</v>
      </c>
      <c r="K80" s="48">
        <f t="shared" si="49"/>
        <v>1.38607306419791</v>
      </c>
      <c r="L80" s="48">
        <f t="shared" si="50"/>
        <v>1.0025150161097367</v>
      </c>
      <c r="M80" s="60">
        <f t="shared" si="38"/>
        <v>24.886724642168744</v>
      </c>
      <c r="N80" s="52">
        <f t="shared" si="39"/>
        <v>2.3964909527659306</v>
      </c>
      <c r="O80" s="54" t="str">
        <f t="shared" si="51"/>
        <v>Passed</v>
      </c>
      <c r="P80" s="167"/>
      <c r="Q80" s="167"/>
      <c r="R80" s="167"/>
      <c r="S80" s="167"/>
      <c r="T80" s="167"/>
      <c r="U80" s="167"/>
      <c r="V80" s="167"/>
      <c r="W80" s="167"/>
    </row>
    <row r="81" spans="2:23" ht="16" customHeight="1">
      <c r="B81" s="47" t="s">
        <v>407</v>
      </c>
      <c r="C81" s="47" t="str">
        <f t="shared" si="42"/>
        <v>Steel</v>
      </c>
      <c r="D81" s="48">
        <f t="shared" si="42"/>
        <v>0.12222220745907365</v>
      </c>
      <c r="E81" s="52">
        <f t="shared" si="43"/>
        <v>18</v>
      </c>
      <c r="F81" s="48">
        <f t="shared" si="44"/>
        <v>0.60343047512448422</v>
      </c>
      <c r="G81" s="48">
        <f t="shared" si="45"/>
        <v>0.74230769230769222</v>
      </c>
      <c r="H81" s="48">
        <f t="shared" si="46"/>
        <v>0.12</v>
      </c>
      <c r="I81" s="48">
        <f t="shared" si="47"/>
        <v>6.0000000000000005E-2</v>
      </c>
      <c r="J81" s="48">
        <f t="shared" si="48"/>
        <v>0.05</v>
      </c>
      <c r="K81" s="48">
        <f t="shared" si="49"/>
        <v>1.1970515590621635</v>
      </c>
      <c r="L81" s="48">
        <f t="shared" si="50"/>
        <v>1.0025150161097367</v>
      </c>
      <c r="M81" s="60">
        <f t="shared" si="38"/>
        <v>21.492873140924992</v>
      </c>
      <c r="N81" s="52">
        <f t="shared" si="39"/>
        <v>2.6269063999216864</v>
      </c>
      <c r="O81" s="54" t="str">
        <f t="shared" si="51"/>
        <v>Passed</v>
      </c>
      <c r="P81" s="167"/>
      <c r="Q81" s="167"/>
      <c r="R81" s="167"/>
      <c r="S81" s="167"/>
      <c r="T81" s="167"/>
      <c r="U81" s="167"/>
      <c r="V81" s="167"/>
      <c r="W81" s="167"/>
    </row>
    <row r="82" spans="2:23" ht="16" customHeight="1">
      <c r="B82" s="47" t="s">
        <v>407</v>
      </c>
      <c r="C82" s="47" t="str">
        <f t="shared" si="42"/>
        <v>Aviation</v>
      </c>
      <c r="D82" s="48">
        <f t="shared" si="42"/>
        <v>7.7777957837227088E-2</v>
      </c>
      <c r="E82" s="52">
        <f t="shared" si="43"/>
        <v>18</v>
      </c>
      <c r="F82" s="48">
        <f t="shared" si="44"/>
        <v>0.51463671349624185</v>
      </c>
      <c r="G82" s="48">
        <f t="shared" si="45"/>
        <v>0.77910447761194024</v>
      </c>
      <c r="H82" s="48">
        <f t="shared" si="46"/>
        <v>0.10507462686567165</v>
      </c>
      <c r="I82" s="48">
        <f t="shared" si="47"/>
        <v>0.11598507462686568</v>
      </c>
      <c r="J82" s="48">
        <f t="shared" si="48"/>
        <v>8.5522388059701485E-2</v>
      </c>
      <c r="K82" s="48">
        <f t="shared" si="49"/>
        <v>1.1310264138176063</v>
      </c>
      <c r="L82" s="48">
        <f t="shared" si="50"/>
        <v>1.0025150161097367</v>
      </c>
      <c r="M82" s="60">
        <f t="shared" si="38"/>
        <v>20.307402005526114</v>
      </c>
      <c r="N82" s="52">
        <f t="shared" si="39"/>
        <v>1.5794682569694309</v>
      </c>
      <c r="O82" s="54" t="str">
        <f t="shared" si="51"/>
        <v>Passed</v>
      </c>
      <c r="P82" s="167"/>
      <c r="Q82" s="167"/>
      <c r="R82" s="167"/>
      <c r="S82" s="167"/>
      <c r="T82" s="167"/>
      <c r="U82" s="167"/>
      <c r="V82" s="167"/>
      <c r="W82" s="167"/>
    </row>
    <row r="83" spans="2:23" ht="16" customHeight="1">
      <c r="B83" s="47" t="s">
        <v>407</v>
      </c>
      <c r="C83" s="47" t="str">
        <f t="shared" si="42"/>
        <v>Power &amp; Utilities</v>
      </c>
      <c r="D83" s="48">
        <f t="shared" si="42"/>
        <v>0.17530933937250623</v>
      </c>
      <c r="E83" s="52">
        <f t="shared" si="43"/>
        <v>18</v>
      </c>
      <c r="F83" s="48">
        <f t="shared" si="44"/>
        <v>0.92804400019309019</v>
      </c>
      <c r="G83" s="48">
        <f t="shared" si="45"/>
        <v>9.9905555555555553E-2</v>
      </c>
      <c r="H83" s="48">
        <f t="shared" si="46"/>
        <v>3.1488888888888886E-2</v>
      </c>
      <c r="I83" s="48">
        <f t="shared" si="47"/>
        <v>0.64228444444444432</v>
      </c>
      <c r="J83" s="48">
        <f t="shared" si="48"/>
        <v>0.24339444444444441</v>
      </c>
      <c r="K83" s="48">
        <f t="shared" si="49"/>
        <v>0.93098113460203402</v>
      </c>
      <c r="L83" s="48">
        <f t="shared" si="50"/>
        <v>1.0025150161097367</v>
      </c>
      <c r="M83" s="60">
        <f t="shared" si="38"/>
        <v>16.715620368326029</v>
      </c>
      <c r="N83" s="52">
        <f t="shared" si="39"/>
        <v>2.9304043639728454</v>
      </c>
      <c r="O83" s="54" t="str">
        <f t="shared" si="51"/>
        <v>Passed</v>
      </c>
      <c r="P83" s="169" t="s">
        <v>419</v>
      </c>
      <c r="Q83" s="167"/>
      <c r="R83" s="167"/>
      <c r="S83" s="167"/>
      <c r="T83" s="167"/>
      <c r="U83" s="167"/>
      <c r="V83" s="167"/>
      <c r="W83" s="167"/>
    </row>
    <row r="84" spans="2:23" ht="16" customHeight="1">
      <c r="B84" s="47" t="s">
        <v>407</v>
      </c>
      <c r="C84" s="47" t="str">
        <f t="shared" si="42"/>
        <v>Chemicals</v>
      </c>
      <c r="D84" s="48">
        <f t="shared" si="42"/>
        <v>9.629582965669764E-2</v>
      </c>
      <c r="E84" s="52">
        <f t="shared" si="43"/>
        <v>18</v>
      </c>
      <c r="F84" s="48">
        <f t="shared" si="44"/>
        <v>0.38901866341143243</v>
      </c>
      <c r="G84" s="48">
        <f t="shared" si="45"/>
        <v>0.42608695652173911</v>
      </c>
      <c r="H84" s="48">
        <f t="shared" si="46"/>
        <v>0.02</v>
      </c>
      <c r="I84" s="48">
        <f t="shared" si="47"/>
        <v>0.78600000000000003</v>
      </c>
      <c r="J84" s="48">
        <f t="shared" si="48"/>
        <v>0.18</v>
      </c>
      <c r="K84" s="48">
        <f t="shared" si="49"/>
        <v>0.69175884188419945</v>
      </c>
      <c r="L84" s="48">
        <f t="shared" si="50"/>
        <v>1.0025150161097367</v>
      </c>
      <c r="M84" s="60">
        <f t="shared" si="38"/>
        <v>12.420421593518171</v>
      </c>
      <c r="N84" s="52">
        <f t="shared" si="39"/>
        <v>1.1960348020337948</v>
      </c>
      <c r="O84" s="54" t="str">
        <f t="shared" si="51"/>
        <v>Passed</v>
      </c>
      <c r="P84" s="167"/>
      <c r="Q84" s="167"/>
      <c r="R84" s="167"/>
      <c r="S84" s="167"/>
      <c r="T84" s="167"/>
      <c r="U84" s="167"/>
      <c r="V84" s="167"/>
      <c r="W84" s="167"/>
    </row>
    <row r="85" spans="2:23" ht="16" customHeight="1">
      <c r="B85" s="47" t="s">
        <v>407</v>
      </c>
      <c r="C85" s="47" t="str">
        <f t="shared" si="42"/>
        <v>Shipping</v>
      </c>
      <c r="D85" s="48">
        <f t="shared" si="42"/>
        <v>6.4197520227738933E-2</v>
      </c>
      <c r="E85" s="52">
        <f t="shared" si="43"/>
        <v>18</v>
      </c>
      <c r="F85" s="48">
        <f t="shared" si="44"/>
        <v>9.3791807182449546E-2</v>
      </c>
      <c r="G85" s="48">
        <f t="shared" si="45"/>
        <v>0.3606060606060606</v>
      </c>
      <c r="H85" s="48">
        <f t="shared" si="46"/>
        <v>0.02</v>
      </c>
      <c r="I85" s="48">
        <f t="shared" si="47"/>
        <v>0.78600000000000003</v>
      </c>
      <c r="J85" s="48">
        <f t="shared" si="48"/>
        <v>0.18</v>
      </c>
      <c r="K85" s="48">
        <f t="shared" si="49"/>
        <v>0.50973980218355519</v>
      </c>
      <c r="L85" s="48">
        <f t="shared" si="50"/>
        <v>1.0025150161097367</v>
      </c>
      <c r="M85" s="60">
        <f t="shared" si="38"/>
        <v>9.1522982617346145</v>
      </c>
      <c r="N85" s="52">
        <f t="shared" si="39"/>
        <v>0.58755485278800779</v>
      </c>
      <c r="O85" s="54" t="str">
        <f t="shared" si="51"/>
        <v>Passed</v>
      </c>
      <c r="P85" s="167"/>
      <c r="Q85" s="167"/>
      <c r="R85" s="167"/>
      <c r="S85" s="167"/>
      <c r="T85" s="167"/>
      <c r="U85" s="167"/>
      <c r="V85" s="167"/>
      <c r="W85" s="167"/>
    </row>
    <row r="86" spans="2:23" ht="16" customHeight="1">
      <c r="B86" s="47" t="s">
        <v>407</v>
      </c>
      <c r="C86" s="47" t="str">
        <f t="shared" si="42"/>
        <v>Automotive</v>
      </c>
      <c r="D86" s="48">
        <f t="shared" si="42"/>
        <v>5.6790221257228386E-2</v>
      </c>
      <c r="E86" s="52">
        <f t="shared" si="43"/>
        <v>18</v>
      </c>
      <c r="F86" s="48">
        <f t="shared" si="44"/>
        <v>0</v>
      </c>
      <c r="G86" s="48">
        <f t="shared" si="45"/>
        <v>0.19999999999999998</v>
      </c>
      <c r="H86" s="48">
        <f t="shared" si="46"/>
        <v>0.02</v>
      </c>
      <c r="I86" s="48">
        <f t="shared" si="47"/>
        <v>0.7281428571428572</v>
      </c>
      <c r="J86" s="48">
        <f t="shared" si="48"/>
        <v>0.37285714285714283</v>
      </c>
      <c r="K86" s="48">
        <f t="shared" si="49"/>
        <v>0.39550820433710421</v>
      </c>
      <c r="L86" s="48">
        <f t="shared" si="50"/>
        <v>1.0025150161097367</v>
      </c>
      <c r="M86" s="60">
        <f t="shared" si="38"/>
        <v>7.1012878247886553</v>
      </c>
      <c r="N86" s="52">
        <f t="shared" si="39"/>
        <v>0.40328370678100983</v>
      </c>
      <c r="O86" s="54" t="str">
        <f t="shared" si="51"/>
        <v>Passed</v>
      </c>
      <c r="P86" s="167"/>
      <c r="Q86" s="167"/>
      <c r="R86" s="167"/>
      <c r="S86" s="167"/>
      <c r="T86" s="167"/>
      <c r="U86" s="167"/>
      <c r="V86" s="167"/>
      <c r="W86" s="167"/>
    </row>
    <row r="87" spans="2:23" ht="16" customHeight="1">
      <c r="B87" s="47" t="s">
        <v>407</v>
      </c>
      <c r="C87" s="47" t="str">
        <f t="shared" si="42"/>
        <v>Agriculture &amp; Food</v>
      </c>
      <c r="D87" s="48">
        <f t="shared" si="42"/>
        <v>5.4321014526120003E-2</v>
      </c>
      <c r="E87" s="52">
        <f t="shared" si="43"/>
        <v>18</v>
      </c>
      <c r="F87" s="48">
        <f t="shared" si="44"/>
        <v>0</v>
      </c>
      <c r="G87" s="48">
        <f t="shared" si="45"/>
        <v>0.310126582278481</v>
      </c>
      <c r="H87" s="48">
        <f t="shared" si="46"/>
        <v>0.02</v>
      </c>
      <c r="I87" s="48">
        <f t="shared" si="47"/>
        <v>0.79612658227848099</v>
      </c>
      <c r="J87" s="48">
        <f t="shared" si="48"/>
        <v>0.18</v>
      </c>
      <c r="K87" s="48">
        <f t="shared" si="49"/>
        <v>0.43946616093746582</v>
      </c>
      <c r="L87" s="48">
        <f t="shared" si="50"/>
        <v>1.0025150161097367</v>
      </c>
      <c r="M87" s="60">
        <f t="shared" si="38"/>
        <v>7.8905460464529362</v>
      </c>
      <c r="N87" s="52">
        <f t="shared" si="39"/>
        <v>0.42862246640838869</v>
      </c>
      <c r="O87" s="54" t="str">
        <f t="shared" si="51"/>
        <v>Passed</v>
      </c>
      <c r="P87" s="167"/>
      <c r="Q87" s="167"/>
      <c r="R87" s="167"/>
      <c r="S87" s="167"/>
      <c r="T87" s="167"/>
      <c r="U87" s="167"/>
      <c r="V87" s="167"/>
      <c r="W87" s="167"/>
    </row>
    <row r="88" spans="2:23" ht="16" customHeight="1">
      <c r="B88" s="47" t="s">
        <v>407</v>
      </c>
      <c r="C88" s="47" t="str">
        <f t="shared" si="42"/>
        <v>Real Estate</v>
      </c>
      <c r="D88" s="48">
        <f t="shared" si="42"/>
        <v>3.7037032793710359E-2</v>
      </c>
      <c r="E88" s="52">
        <f t="shared" si="43"/>
        <v>18</v>
      </c>
      <c r="F88" s="48">
        <f t="shared" si="44"/>
        <v>0</v>
      </c>
      <c r="G88" s="48">
        <f t="shared" si="45"/>
        <v>6.7307692307692304E-2</v>
      </c>
      <c r="H88" s="48">
        <f t="shared" si="46"/>
        <v>0.02</v>
      </c>
      <c r="I88" s="48">
        <f t="shared" si="47"/>
        <v>0.86499999999999999</v>
      </c>
      <c r="J88" s="48">
        <f t="shared" si="48"/>
        <v>0.45</v>
      </c>
      <c r="K88" s="48">
        <f t="shared" si="49"/>
        <v>0.35</v>
      </c>
      <c r="L88" s="48">
        <f t="shared" si="50"/>
        <v>1.0025150161097367</v>
      </c>
      <c r="M88" s="60">
        <f t="shared" si="38"/>
        <v>6.2841951479661358</v>
      </c>
      <c r="N88" s="52">
        <f t="shared" si="39"/>
        <v>0.2327479417772973</v>
      </c>
      <c r="O88" s="54" t="str">
        <f t="shared" si="51"/>
        <v>Passed</v>
      </c>
      <c r="P88" s="167"/>
      <c r="Q88" s="167"/>
      <c r="R88" s="167"/>
      <c r="S88" s="167"/>
      <c r="T88" s="167"/>
      <c r="U88" s="167"/>
      <c r="V88" s="167"/>
      <c r="W88" s="167"/>
    </row>
    <row r="89" spans="2:23" ht="16" customHeight="1">
      <c r="B89" s="47" t="s">
        <v>407</v>
      </c>
      <c r="C89" s="47" t="str">
        <f t="shared" si="42"/>
        <v>Retail &amp; Services</v>
      </c>
      <c r="D89" s="48">
        <f t="shared" si="42"/>
        <v>1.6049362106475677E-2</v>
      </c>
      <c r="E89" s="52">
        <f t="shared" si="43"/>
        <v>18</v>
      </c>
      <c r="F89" s="48">
        <f t="shared" si="44"/>
        <v>0</v>
      </c>
      <c r="G89" s="48">
        <f t="shared" si="45"/>
        <v>0.16333333333333333</v>
      </c>
      <c r="H89" s="48">
        <f t="shared" si="46"/>
        <v>0.02</v>
      </c>
      <c r="I89" s="48">
        <f t="shared" si="47"/>
        <v>0.86499999999999999</v>
      </c>
      <c r="J89" s="48">
        <f t="shared" si="48"/>
        <v>0.45</v>
      </c>
      <c r="K89" s="48">
        <f t="shared" si="49"/>
        <v>0.35</v>
      </c>
      <c r="L89" s="48">
        <f t="shared" si="50"/>
        <v>1.0025150161097367</v>
      </c>
      <c r="M89" s="60">
        <f t="shared" si="38"/>
        <v>6.2841951479661358</v>
      </c>
      <c r="N89" s="52">
        <f t="shared" si="39"/>
        <v>0.10085732347746601</v>
      </c>
      <c r="O89" s="54" t="str">
        <f t="shared" si="51"/>
        <v>Passed</v>
      </c>
      <c r="P89" s="167"/>
      <c r="Q89" s="167"/>
      <c r="R89" s="167"/>
      <c r="S89" s="167"/>
      <c r="T89" s="167"/>
      <c r="U89" s="167"/>
      <c r="V89" s="167"/>
      <c r="W89" s="167"/>
    </row>
    <row r="90" spans="2:23" ht="16" customHeight="1">
      <c r="B90" s="47" t="s">
        <v>409</v>
      </c>
      <c r="C90" s="47" t="str">
        <f t="shared" ref="C90:D100" si="52">B48</f>
        <v>Oil &amp; Gas</v>
      </c>
      <c r="D90" s="48">
        <f t="shared" si="52"/>
        <v>0.20370355829552153</v>
      </c>
      <c r="E90" s="52">
        <f t="shared" ref="E90:E100" si="53">$D$64</f>
        <v>10</v>
      </c>
      <c r="F90" s="48">
        <f t="shared" ref="F90:F100" si="54">L48</f>
        <v>1</v>
      </c>
      <c r="G90" s="48">
        <f t="shared" ref="G90:G100" si="55">I48</f>
        <v>0.92734374999999991</v>
      </c>
      <c r="H90" s="48">
        <f t="shared" ref="H90:H100" si="56">K48</f>
        <v>0.35</v>
      </c>
      <c r="I90" s="48">
        <f t="shared" ref="I90:I100" si="57">G48</f>
        <v>5.0234375000000005E-2</v>
      </c>
      <c r="J90" s="48">
        <f t="shared" ref="J90:J100" si="58">J48</f>
        <v>0.05</v>
      </c>
      <c r="K90" s="48">
        <f t="shared" ref="K90:K100" si="59">MAX(0.35,MIN(2,1+$Q$64*(F90-SUMPRODUCT($D$90:$D$100,$F$90:$F$100))+$R$64*(G90-SUMPRODUCT($D$90:$D$100,$G$90:$G$100))+$O$64*(H90-SUMPRODUCT($D$90:$D$100,$H$90:$H$100))-$S$64*(I90-SUMPRODUCT($D$90:$D$100,$I$90:$I$100))-$P$64*(J90-SUMPRODUCT($D$90:$D$100,$J$90:$J$100))))</f>
        <v>1.5085935838013895</v>
      </c>
      <c r="L90" s="48">
        <f t="shared" ref="L90:L100" si="60">SUMPRODUCT($D$90:$D$100,$K$90:$K$100)</f>
        <v>1.0025150161097367</v>
      </c>
      <c r="M90" s="60">
        <f t="shared" si="38"/>
        <v>15.048089650123075</v>
      </c>
      <c r="N90" s="52">
        <f t="shared" si="39"/>
        <v>3.0653494072800798</v>
      </c>
      <c r="O90" s="54" t="str">
        <f t="shared" ref="O90:O100" si="61">IF(ABS(SUM($N$90:$N$100)-$E$90)&lt;0.01,"Passed","Failed")</f>
        <v>Passed</v>
      </c>
      <c r="P90" s="167"/>
      <c r="Q90" s="167"/>
      <c r="R90" s="167"/>
      <c r="S90" s="167"/>
      <c r="T90" s="167"/>
      <c r="U90" s="167"/>
      <c r="V90" s="167"/>
      <c r="W90" s="167"/>
    </row>
    <row r="91" spans="2:23" ht="16" customHeight="1">
      <c r="B91" s="47" t="s">
        <v>409</v>
      </c>
      <c r="C91" s="47" t="str">
        <f t="shared" si="52"/>
        <v>Cement</v>
      </c>
      <c r="D91" s="48">
        <f t="shared" si="52"/>
        <v>9.6295956467700491E-2</v>
      </c>
      <c r="E91" s="52">
        <f t="shared" si="53"/>
        <v>10</v>
      </c>
      <c r="F91" s="48">
        <f t="shared" si="54"/>
        <v>0.96908315533971423</v>
      </c>
      <c r="G91" s="48">
        <f t="shared" si="55"/>
        <v>0.79999999999999993</v>
      </c>
      <c r="H91" s="48">
        <f t="shared" si="56"/>
        <v>0.10709677419354838</v>
      </c>
      <c r="I91" s="48">
        <f t="shared" si="57"/>
        <v>0.12087096774193548</v>
      </c>
      <c r="J91" s="48">
        <f t="shared" si="58"/>
        <v>8.4193548387096778E-2</v>
      </c>
      <c r="K91" s="48">
        <f t="shared" si="59"/>
        <v>1.38607306419791</v>
      </c>
      <c r="L91" s="48">
        <f t="shared" si="60"/>
        <v>1.0025150161097367</v>
      </c>
      <c r="M91" s="60">
        <f t="shared" si="38"/>
        <v>13.82595813453819</v>
      </c>
      <c r="N91" s="52">
        <f t="shared" si="39"/>
        <v>1.331383862647739</v>
      </c>
      <c r="O91" s="54" t="str">
        <f t="shared" si="61"/>
        <v>Passed</v>
      </c>
      <c r="P91" s="167"/>
      <c r="Q91" s="167"/>
      <c r="R91" s="167"/>
      <c r="S91" s="167"/>
      <c r="T91" s="167"/>
      <c r="U91" s="167"/>
      <c r="V91" s="167"/>
      <c r="W91" s="167"/>
    </row>
    <row r="92" spans="2:23" ht="16" customHeight="1">
      <c r="B92" s="47" t="s">
        <v>409</v>
      </c>
      <c r="C92" s="47" t="str">
        <f t="shared" si="52"/>
        <v>Steel</v>
      </c>
      <c r="D92" s="48">
        <f t="shared" si="52"/>
        <v>0.12222220745907365</v>
      </c>
      <c r="E92" s="52">
        <f t="shared" si="53"/>
        <v>10</v>
      </c>
      <c r="F92" s="48">
        <f t="shared" si="54"/>
        <v>0.60343047512448422</v>
      </c>
      <c r="G92" s="48">
        <f t="shared" si="55"/>
        <v>0.74230769230769222</v>
      </c>
      <c r="H92" s="48">
        <f t="shared" si="56"/>
        <v>0.12</v>
      </c>
      <c r="I92" s="48">
        <f t="shared" si="57"/>
        <v>6.0000000000000005E-2</v>
      </c>
      <c r="J92" s="48">
        <f t="shared" si="58"/>
        <v>0.05</v>
      </c>
      <c r="K92" s="48">
        <f t="shared" si="59"/>
        <v>1.1970515590621635</v>
      </c>
      <c r="L92" s="48">
        <f t="shared" si="60"/>
        <v>1.0025150161097367</v>
      </c>
      <c r="M92" s="60">
        <f t="shared" si="38"/>
        <v>11.940485078291662</v>
      </c>
      <c r="N92" s="52">
        <f t="shared" si="39"/>
        <v>1.4593924444009367</v>
      </c>
      <c r="O92" s="54" t="str">
        <f t="shared" si="61"/>
        <v>Passed</v>
      </c>
      <c r="P92" s="167"/>
      <c r="Q92" s="167"/>
      <c r="R92" s="167"/>
      <c r="S92" s="167"/>
      <c r="T92" s="167"/>
      <c r="U92" s="167"/>
      <c r="V92" s="167"/>
      <c r="W92" s="167"/>
    </row>
    <row r="93" spans="2:23" ht="16" customHeight="1">
      <c r="B93" s="47" t="s">
        <v>409</v>
      </c>
      <c r="C93" s="47" t="str">
        <f t="shared" si="52"/>
        <v>Aviation</v>
      </c>
      <c r="D93" s="48">
        <f t="shared" si="52"/>
        <v>7.7777957837227088E-2</v>
      </c>
      <c r="E93" s="52">
        <f t="shared" si="53"/>
        <v>10</v>
      </c>
      <c r="F93" s="48">
        <f t="shared" si="54"/>
        <v>0.51463671349624185</v>
      </c>
      <c r="G93" s="48">
        <f t="shared" si="55"/>
        <v>0.77910447761194024</v>
      </c>
      <c r="H93" s="48">
        <f t="shared" si="56"/>
        <v>0.10507462686567165</v>
      </c>
      <c r="I93" s="48">
        <f t="shared" si="57"/>
        <v>0.11598507462686568</v>
      </c>
      <c r="J93" s="48">
        <f t="shared" si="58"/>
        <v>8.5522388059701485E-2</v>
      </c>
      <c r="K93" s="48">
        <f t="shared" si="59"/>
        <v>1.1310264138176063</v>
      </c>
      <c r="L93" s="48">
        <f t="shared" si="60"/>
        <v>1.0025150161097367</v>
      </c>
      <c r="M93" s="60">
        <f t="shared" si="38"/>
        <v>11.281890003070064</v>
      </c>
      <c r="N93" s="52">
        <f t="shared" si="39"/>
        <v>0.87748236498301724</v>
      </c>
      <c r="O93" s="54" t="str">
        <f t="shared" si="61"/>
        <v>Passed</v>
      </c>
      <c r="P93" s="167"/>
      <c r="Q93" s="167"/>
      <c r="R93" s="167"/>
      <c r="S93" s="167"/>
      <c r="T93" s="167"/>
      <c r="U93" s="167"/>
      <c r="V93" s="167"/>
      <c r="W93" s="167"/>
    </row>
    <row r="94" spans="2:23" ht="16" customHeight="1">
      <c r="B94" s="47" t="s">
        <v>409</v>
      </c>
      <c r="C94" s="47" t="str">
        <f t="shared" si="52"/>
        <v>Power &amp; Utilities</v>
      </c>
      <c r="D94" s="48">
        <f t="shared" si="52"/>
        <v>0.17530933937250623</v>
      </c>
      <c r="E94" s="52">
        <f t="shared" si="53"/>
        <v>10</v>
      </c>
      <c r="F94" s="48">
        <f t="shared" si="54"/>
        <v>0.92804400019309019</v>
      </c>
      <c r="G94" s="48">
        <f t="shared" si="55"/>
        <v>9.9905555555555553E-2</v>
      </c>
      <c r="H94" s="48">
        <f t="shared" si="56"/>
        <v>3.1488888888888886E-2</v>
      </c>
      <c r="I94" s="48">
        <f t="shared" si="57"/>
        <v>0.64228444444444432</v>
      </c>
      <c r="J94" s="48">
        <f t="shared" si="58"/>
        <v>0.24339444444444441</v>
      </c>
      <c r="K94" s="48">
        <f t="shared" si="59"/>
        <v>0.93098113460203402</v>
      </c>
      <c r="L94" s="48">
        <f t="shared" si="60"/>
        <v>1.0025150161097367</v>
      </c>
      <c r="M94" s="60">
        <f t="shared" si="38"/>
        <v>9.2864557601811271</v>
      </c>
      <c r="N94" s="52">
        <f t="shared" si="39"/>
        <v>1.6280024244293585</v>
      </c>
      <c r="O94" s="54" t="str">
        <f t="shared" si="61"/>
        <v>Passed</v>
      </c>
      <c r="P94" s="167"/>
      <c r="Q94" s="167"/>
      <c r="R94" s="167"/>
      <c r="S94" s="167"/>
      <c r="T94" s="167"/>
      <c r="U94" s="167"/>
      <c r="V94" s="167"/>
      <c r="W94" s="167"/>
    </row>
    <row r="95" spans="2:23" ht="16" customHeight="1">
      <c r="B95" s="47" t="s">
        <v>409</v>
      </c>
      <c r="C95" s="47" t="str">
        <f t="shared" si="52"/>
        <v>Chemicals</v>
      </c>
      <c r="D95" s="48">
        <f t="shared" si="52"/>
        <v>9.629582965669764E-2</v>
      </c>
      <c r="E95" s="52">
        <f t="shared" si="53"/>
        <v>10</v>
      </c>
      <c r="F95" s="48">
        <f t="shared" si="54"/>
        <v>0.38901866341143243</v>
      </c>
      <c r="G95" s="48">
        <f t="shared" si="55"/>
        <v>0.42608695652173911</v>
      </c>
      <c r="H95" s="48">
        <f t="shared" si="56"/>
        <v>0.02</v>
      </c>
      <c r="I95" s="48">
        <f t="shared" si="57"/>
        <v>0.78600000000000003</v>
      </c>
      <c r="J95" s="48">
        <f t="shared" si="58"/>
        <v>0.18</v>
      </c>
      <c r="K95" s="48">
        <f t="shared" si="59"/>
        <v>0.69175884188419945</v>
      </c>
      <c r="L95" s="48">
        <f t="shared" si="60"/>
        <v>1.0025150161097367</v>
      </c>
      <c r="M95" s="60">
        <f t="shared" si="38"/>
        <v>6.9002342186212058</v>
      </c>
      <c r="N95" s="52">
        <f t="shared" si="39"/>
        <v>0.66446377890766373</v>
      </c>
      <c r="O95" s="54" t="str">
        <f t="shared" si="61"/>
        <v>Passed</v>
      </c>
      <c r="P95" s="167"/>
      <c r="Q95" s="167"/>
      <c r="R95" s="167"/>
      <c r="S95" s="167"/>
      <c r="T95" s="167"/>
      <c r="U95" s="167"/>
      <c r="V95" s="167"/>
      <c r="W95" s="167"/>
    </row>
    <row r="96" spans="2:23" ht="16" customHeight="1">
      <c r="B96" s="47" t="s">
        <v>409</v>
      </c>
      <c r="C96" s="47" t="str">
        <f t="shared" si="52"/>
        <v>Shipping</v>
      </c>
      <c r="D96" s="48">
        <f t="shared" si="52"/>
        <v>6.4197520227738933E-2</v>
      </c>
      <c r="E96" s="52">
        <f t="shared" si="53"/>
        <v>10</v>
      </c>
      <c r="F96" s="48">
        <f t="shared" si="54"/>
        <v>9.3791807182449546E-2</v>
      </c>
      <c r="G96" s="48">
        <f t="shared" si="55"/>
        <v>0.3606060606060606</v>
      </c>
      <c r="H96" s="48">
        <f t="shared" si="56"/>
        <v>0.02</v>
      </c>
      <c r="I96" s="48">
        <f t="shared" si="57"/>
        <v>0.78600000000000003</v>
      </c>
      <c r="J96" s="48">
        <f t="shared" si="58"/>
        <v>0.18</v>
      </c>
      <c r="K96" s="48">
        <f t="shared" si="59"/>
        <v>0.50973980218355519</v>
      </c>
      <c r="L96" s="48">
        <f t="shared" si="60"/>
        <v>1.0025150161097367</v>
      </c>
      <c r="M96" s="60">
        <f t="shared" si="38"/>
        <v>5.0846101454081198</v>
      </c>
      <c r="N96" s="52">
        <f t="shared" si="39"/>
        <v>0.32641936266000438</v>
      </c>
      <c r="O96" s="54" t="str">
        <f t="shared" si="61"/>
        <v>Passed</v>
      </c>
      <c r="P96" s="167"/>
      <c r="Q96" s="167"/>
      <c r="R96" s="167"/>
      <c r="S96" s="167"/>
      <c r="T96" s="167"/>
      <c r="U96" s="167"/>
      <c r="V96" s="167"/>
      <c r="W96" s="167"/>
    </row>
    <row r="97" spans="1:23" ht="16" customHeight="1">
      <c r="B97" s="47" t="s">
        <v>409</v>
      </c>
      <c r="C97" s="47" t="str">
        <f t="shared" si="52"/>
        <v>Automotive</v>
      </c>
      <c r="D97" s="48">
        <f t="shared" si="52"/>
        <v>5.6790221257228386E-2</v>
      </c>
      <c r="E97" s="52">
        <f t="shared" si="53"/>
        <v>10</v>
      </c>
      <c r="F97" s="48">
        <f t="shared" si="54"/>
        <v>0</v>
      </c>
      <c r="G97" s="48">
        <f t="shared" si="55"/>
        <v>0.19999999999999998</v>
      </c>
      <c r="H97" s="48">
        <f t="shared" si="56"/>
        <v>0.02</v>
      </c>
      <c r="I97" s="48">
        <f t="shared" si="57"/>
        <v>0.7281428571428572</v>
      </c>
      <c r="J97" s="48">
        <f t="shared" si="58"/>
        <v>0.37285714285714283</v>
      </c>
      <c r="K97" s="48">
        <f t="shared" si="59"/>
        <v>0.39550820433710421</v>
      </c>
      <c r="L97" s="48">
        <f t="shared" si="60"/>
        <v>1.0025150161097367</v>
      </c>
      <c r="M97" s="60">
        <f t="shared" si="38"/>
        <v>3.9451599026603636</v>
      </c>
      <c r="N97" s="52">
        <f t="shared" si="39"/>
        <v>0.22404650376722765</v>
      </c>
      <c r="O97" s="54" t="str">
        <f t="shared" si="61"/>
        <v>Passed</v>
      </c>
      <c r="P97" s="167"/>
      <c r="Q97" s="167"/>
      <c r="R97" s="167"/>
      <c r="S97" s="167"/>
      <c r="T97" s="167"/>
      <c r="U97" s="167"/>
      <c r="V97" s="167"/>
      <c r="W97" s="167"/>
    </row>
    <row r="98" spans="1:23" ht="16" customHeight="1">
      <c r="B98" s="47" t="s">
        <v>409</v>
      </c>
      <c r="C98" s="47" t="str">
        <f t="shared" si="52"/>
        <v>Agriculture &amp; Food</v>
      </c>
      <c r="D98" s="48">
        <f t="shared" si="52"/>
        <v>5.4321014526120003E-2</v>
      </c>
      <c r="E98" s="52">
        <f t="shared" si="53"/>
        <v>10</v>
      </c>
      <c r="F98" s="48">
        <f t="shared" si="54"/>
        <v>0</v>
      </c>
      <c r="G98" s="48">
        <f t="shared" si="55"/>
        <v>0.310126582278481</v>
      </c>
      <c r="H98" s="48">
        <f t="shared" si="56"/>
        <v>0.02</v>
      </c>
      <c r="I98" s="48">
        <f t="shared" si="57"/>
        <v>0.79612658227848099</v>
      </c>
      <c r="J98" s="48">
        <f t="shared" si="58"/>
        <v>0.18</v>
      </c>
      <c r="K98" s="48">
        <f t="shared" si="59"/>
        <v>0.43946616093746582</v>
      </c>
      <c r="L98" s="48">
        <f t="shared" si="60"/>
        <v>1.0025150161097367</v>
      </c>
      <c r="M98" s="60">
        <f t="shared" si="38"/>
        <v>4.3836366924738535</v>
      </c>
      <c r="N98" s="52">
        <f t="shared" si="39"/>
        <v>0.23812359244910483</v>
      </c>
      <c r="O98" s="54" t="str">
        <f t="shared" si="61"/>
        <v>Passed</v>
      </c>
      <c r="P98" s="167"/>
      <c r="Q98" s="167"/>
      <c r="R98" s="167"/>
      <c r="S98" s="167"/>
      <c r="T98" s="167"/>
      <c r="U98" s="167"/>
      <c r="V98" s="167"/>
      <c r="W98" s="167"/>
    </row>
    <row r="99" spans="1:23" ht="16" customHeight="1">
      <c r="B99" s="47" t="s">
        <v>409</v>
      </c>
      <c r="C99" s="47" t="str">
        <f t="shared" si="52"/>
        <v>Real Estate</v>
      </c>
      <c r="D99" s="48">
        <f t="shared" si="52"/>
        <v>3.7037032793710359E-2</v>
      </c>
      <c r="E99" s="52">
        <f t="shared" si="53"/>
        <v>10</v>
      </c>
      <c r="F99" s="48">
        <f t="shared" si="54"/>
        <v>0</v>
      </c>
      <c r="G99" s="48">
        <f t="shared" si="55"/>
        <v>6.7307692307692304E-2</v>
      </c>
      <c r="H99" s="48">
        <f t="shared" si="56"/>
        <v>0.02</v>
      </c>
      <c r="I99" s="48">
        <f t="shared" si="57"/>
        <v>0.86499999999999999</v>
      </c>
      <c r="J99" s="48">
        <f t="shared" si="58"/>
        <v>0.45</v>
      </c>
      <c r="K99" s="48">
        <f t="shared" si="59"/>
        <v>0.35</v>
      </c>
      <c r="L99" s="48">
        <f t="shared" si="60"/>
        <v>1.0025150161097367</v>
      </c>
      <c r="M99" s="60">
        <f t="shared" si="38"/>
        <v>3.4912195266478534</v>
      </c>
      <c r="N99" s="52">
        <f t="shared" si="39"/>
        <v>0.12930441209849849</v>
      </c>
      <c r="O99" s="54" t="str">
        <f t="shared" si="61"/>
        <v>Passed</v>
      </c>
      <c r="P99" s="167"/>
      <c r="Q99" s="167"/>
      <c r="R99" s="167"/>
      <c r="S99" s="167"/>
      <c r="T99" s="167"/>
      <c r="U99" s="167"/>
      <c r="V99" s="167"/>
      <c r="W99" s="167"/>
    </row>
    <row r="100" spans="1:23" ht="16" customHeight="1">
      <c r="B100" s="47" t="s">
        <v>409</v>
      </c>
      <c r="C100" s="47" t="str">
        <f t="shared" si="52"/>
        <v>Retail &amp; Services</v>
      </c>
      <c r="D100" s="48">
        <f t="shared" si="52"/>
        <v>1.6049362106475677E-2</v>
      </c>
      <c r="E100" s="52">
        <f t="shared" si="53"/>
        <v>10</v>
      </c>
      <c r="F100" s="48">
        <f t="shared" si="54"/>
        <v>0</v>
      </c>
      <c r="G100" s="48">
        <f t="shared" si="55"/>
        <v>0.16333333333333333</v>
      </c>
      <c r="H100" s="48">
        <f t="shared" si="56"/>
        <v>0.02</v>
      </c>
      <c r="I100" s="48">
        <f t="shared" si="57"/>
        <v>0.86499999999999999</v>
      </c>
      <c r="J100" s="48">
        <f t="shared" si="58"/>
        <v>0.45</v>
      </c>
      <c r="K100" s="48">
        <f t="shared" si="59"/>
        <v>0.35</v>
      </c>
      <c r="L100" s="48">
        <f t="shared" si="60"/>
        <v>1.0025150161097367</v>
      </c>
      <c r="M100" s="60">
        <f t="shared" si="38"/>
        <v>3.4912195266478534</v>
      </c>
      <c r="N100" s="52">
        <f t="shared" si="39"/>
        <v>5.6031846376370008E-2</v>
      </c>
      <c r="O100" s="54" t="str">
        <f t="shared" si="61"/>
        <v>Passed</v>
      </c>
      <c r="P100" s="167"/>
      <c r="Q100" s="167"/>
      <c r="R100" s="167"/>
      <c r="S100" s="167"/>
      <c r="T100" s="167"/>
      <c r="U100" s="167"/>
      <c r="V100" s="167"/>
      <c r="W100" s="167"/>
    </row>
    <row r="101" spans="1:23" ht="26" customHeight="1"/>
    <row r="102" spans="1:23" ht="22" customHeight="1">
      <c r="A102" t="s">
        <v>11</v>
      </c>
      <c r="B102" s="42" t="s">
        <v>420</v>
      </c>
      <c r="C102" s="35"/>
      <c r="D102" s="35"/>
      <c r="E102" s="41"/>
      <c r="F102" s="39"/>
      <c r="G102" s="35"/>
      <c r="H102" s="35"/>
      <c r="I102" s="35"/>
      <c r="J102" s="35"/>
      <c r="K102" s="35"/>
      <c r="L102" s="35"/>
      <c r="M102" s="35"/>
      <c r="N102" s="35"/>
      <c r="O102" s="35"/>
      <c r="P102" s="35"/>
      <c r="Q102" s="35"/>
      <c r="R102" s="35"/>
      <c r="S102" s="35"/>
      <c r="T102" s="35"/>
    </row>
    <row r="103" spans="1:23" ht="42" customHeight="1">
      <c r="B103" s="36" t="s">
        <v>387</v>
      </c>
      <c r="C103" s="36" t="s">
        <v>14</v>
      </c>
      <c r="D103" s="36" t="s">
        <v>334</v>
      </c>
      <c r="E103" s="38" t="s">
        <v>377</v>
      </c>
      <c r="F103" s="37" t="s">
        <v>378</v>
      </c>
      <c r="G103" s="36" t="s">
        <v>379</v>
      </c>
      <c r="H103" s="36" t="s">
        <v>380</v>
      </c>
      <c r="I103" s="36" t="s">
        <v>381</v>
      </c>
      <c r="J103" s="36" t="s">
        <v>382</v>
      </c>
      <c r="K103" s="36" t="s">
        <v>421</v>
      </c>
      <c r="L103" s="36" t="s">
        <v>422</v>
      </c>
      <c r="M103" s="36" t="s">
        <v>423</v>
      </c>
      <c r="N103" s="36" t="s">
        <v>424</v>
      </c>
      <c r="O103" s="36"/>
      <c r="P103" s="36"/>
      <c r="Q103" s="112" t="s">
        <v>276</v>
      </c>
      <c r="R103" s="36"/>
      <c r="S103" s="36"/>
      <c r="T103" s="36"/>
    </row>
    <row r="104" spans="1:23" ht="16" customHeight="1">
      <c r="B104" s="47" t="s">
        <v>405</v>
      </c>
      <c r="C104" s="47" t="str">
        <f t="shared" ref="C104:D114" si="62">B48</f>
        <v>Oil &amp; Gas</v>
      </c>
      <c r="D104" s="48">
        <f t="shared" si="62"/>
        <v>0.20370355829552153</v>
      </c>
      <c r="E104" s="48">
        <f t="shared" ref="E104:J114" si="63">F48</f>
        <v>1.2418220212475786</v>
      </c>
      <c r="F104" s="48">
        <f t="shared" si="63"/>
        <v>5.0234375000000005E-2</v>
      </c>
      <c r="G104" s="48">
        <f t="shared" si="63"/>
        <v>0</v>
      </c>
      <c r="H104" s="48">
        <f t="shared" si="63"/>
        <v>0.92734374999999991</v>
      </c>
      <c r="I104" s="48">
        <f t="shared" si="63"/>
        <v>0.05</v>
      </c>
      <c r="J104" s="48">
        <f t="shared" si="63"/>
        <v>0.35</v>
      </c>
      <c r="K104" s="48">
        <f t="shared" ref="K104:K114" si="64">MAX(0.35,MIN(1.75,1-$G$62*(E104-1)+$H$62*(F104-SUMPRODUCT($D$104:$D$114,$F$104:$F$114))+$I$62*(G104-SUMPRODUCT($D$104:$D$114,$G$104:$G$114))-$J$62*(H104-SUMPRODUCT($D$104:$D$114,$H$104:$H$114))-$O$62*(J104-SUMPRODUCT($D$104:$D$114,$J$104:$J$114))+$P$62*(I104-SUMPRODUCT($D$104:$D$114,$I$104:$I$114))))</f>
        <v>0.50358074443086198</v>
      </c>
      <c r="L104" s="61">
        <f t="shared" ref="L104:L114" si="65">$E$62*K104</f>
        <v>6.1086142835787449E-2</v>
      </c>
      <c r="M104" s="48">
        <f t="shared" ref="M104:M114" si="66">MAX(0.35,MIN(1.75,1-$K$62*(E104-1)+$L$62*(F104-SUMPRODUCT($D$104:$D$114,$F$104:$F$114))+$M$62*(G104-SUMPRODUCT($D$104:$D$114,$G$104:$G$114))-$N$62*(H104-SUMPRODUCT($D$104:$D$114,$H$104:$H$114))-0.2*(J104-SUMPRODUCT($D$104:$D$114,$J$104:$J$114))+0.25*(I104-SUMPRODUCT($D$104:$D$114,$I$104:$I$114))))</f>
        <v>0.53118234974400025</v>
      </c>
      <c r="N104" s="61">
        <f t="shared" ref="N104:N114" si="67">$F$62*M104</f>
        <v>1.2064631513851391E-2</v>
      </c>
      <c r="O104" s="167"/>
      <c r="P104" s="168"/>
      <c r="Q104" s="168"/>
      <c r="R104" s="168"/>
      <c r="S104" s="168"/>
      <c r="T104" s="168"/>
    </row>
    <row r="105" spans="1:23" ht="16" customHeight="1">
      <c r="B105" s="47" t="s">
        <v>405</v>
      </c>
      <c r="C105" s="47" t="str">
        <f t="shared" si="62"/>
        <v>Cement</v>
      </c>
      <c r="D105" s="48">
        <f t="shared" si="62"/>
        <v>9.6295956467700491E-2</v>
      </c>
      <c r="E105" s="48">
        <f t="shared" si="63"/>
        <v>1.1551832755791425</v>
      </c>
      <c r="F105" s="48">
        <f t="shared" si="63"/>
        <v>0.12087096774193548</v>
      </c>
      <c r="G105" s="48">
        <f t="shared" si="63"/>
        <v>3.8709677419354833E-2</v>
      </c>
      <c r="H105" s="48">
        <f t="shared" si="63"/>
        <v>0.79999999999999993</v>
      </c>
      <c r="I105" s="48">
        <f t="shared" si="63"/>
        <v>8.4193548387096778E-2</v>
      </c>
      <c r="J105" s="48">
        <f t="shared" si="63"/>
        <v>0.10709677419354838</v>
      </c>
      <c r="K105" s="48">
        <f t="shared" si="64"/>
        <v>0.65381870612124982</v>
      </c>
      <c r="L105" s="61">
        <f t="shared" si="65"/>
        <v>7.9310544163024049E-2</v>
      </c>
      <c r="M105" s="48">
        <f t="shared" si="66"/>
        <v>0.69610505387311417</v>
      </c>
      <c r="N105" s="61">
        <f t="shared" si="67"/>
        <v>1.5810485747420399E-2</v>
      </c>
      <c r="O105" s="167"/>
      <c r="P105" s="168"/>
      <c r="Q105" s="168"/>
      <c r="R105" s="168"/>
      <c r="S105" s="168"/>
      <c r="T105" s="168"/>
    </row>
    <row r="106" spans="1:23" ht="16" customHeight="1">
      <c r="B106" s="47" t="s">
        <v>405</v>
      </c>
      <c r="C106" s="47" t="str">
        <f t="shared" si="62"/>
        <v>Steel</v>
      </c>
      <c r="D106" s="48">
        <f t="shared" si="62"/>
        <v>0.12222220745907365</v>
      </c>
      <c r="E106" s="48">
        <f t="shared" si="63"/>
        <v>1.1046440072725547</v>
      </c>
      <c r="F106" s="48">
        <f t="shared" si="63"/>
        <v>6.0000000000000005E-2</v>
      </c>
      <c r="G106" s="48">
        <f t="shared" si="63"/>
        <v>0</v>
      </c>
      <c r="H106" s="48">
        <f t="shared" si="63"/>
        <v>0.74230769230769222</v>
      </c>
      <c r="I106" s="48">
        <f t="shared" si="63"/>
        <v>0.05</v>
      </c>
      <c r="J106" s="48">
        <f t="shared" si="63"/>
        <v>0.12</v>
      </c>
      <c r="K106" s="48">
        <f t="shared" si="64"/>
        <v>0.62967808834386874</v>
      </c>
      <c r="L106" s="61">
        <f t="shared" si="65"/>
        <v>7.6382201008521819E-2</v>
      </c>
      <c r="M106" s="48">
        <f t="shared" si="66"/>
        <v>0.6938635248275663</v>
      </c>
      <c r="N106" s="61">
        <f t="shared" si="67"/>
        <v>1.5759574375882615E-2</v>
      </c>
      <c r="O106" s="167"/>
      <c r="P106" s="168"/>
      <c r="Q106" s="168"/>
      <c r="R106" s="168"/>
      <c r="S106" s="168"/>
      <c r="T106" s="168"/>
    </row>
    <row r="107" spans="1:23" ht="16" customHeight="1">
      <c r="B107" s="47" t="s">
        <v>405</v>
      </c>
      <c r="C107" s="47" t="str">
        <f t="shared" si="62"/>
        <v>Aviation</v>
      </c>
      <c r="D107" s="48">
        <f t="shared" si="62"/>
        <v>7.7777957837227088E-2</v>
      </c>
      <c r="E107" s="48">
        <f t="shared" si="63"/>
        <v>1.0685445299107064</v>
      </c>
      <c r="F107" s="48">
        <f t="shared" si="63"/>
        <v>0.11598507462686568</v>
      </c>
      <c r="G107" s="48">
        <f t="shared" si="63"/>
        <v>3.5820895522388055E-2</v>
      </c>
      <c r="H107" s="48">
        <f t="shared" si="63"/>
        <v>0.77910447761194024</v>
      </c>
      <c r="I107" s="48">
        <f t="shared" si="63"/>
        <v>8.5522388059701485E-2</v>
      </c>
      <c r="J107" s="48">
        <f t="shared" si="63"/>
        <v>0.10507462686567165</v>
      </c>
      <c r="K107" s="48">
        <f t="shared" si="64"/>
        <v>0.68050116588578324</v>
      </c>
      <c r="L107" s="61">
        <f t="shared" si="65"/>
        <v>8.2547221828744882E-2</v>
      </c>
      <c r="M107" s="48">
        <f t="shared" si="66"/>
        <v>0.73217767600295036</v>
      </c>
      <c r="N107" s="61">
        <f t="shared" si="67"/>
        <v>1.6629795526716753E-2</v>
      </c>
      <c r="O107" s="167"/>
      <c r="P107" s="168"/>
      <c r="Q107" s="168"/>
      <c r="R107" s="168"/>
      <c r="S107" s="168"/>
      <c r="T107" s="168"/>
    </row>
    <row r="108" spans="1:23" ht="16" customHeight="1">
      <c r="B108" s="47" t="s">
        <v>405</v>
      </c>
      <c r="C108" s="47" t="str">
        <f t="shared" si="62"/>
        <v>Power &amp; Utilities</v>
      </c>
      <c r="D108" s="48">
        <f t="shared" si="62"/>
        <v>0.17530933937250623</v>
      </c>
      <c r="E108" s="48">
        <f t="shared" si="63"/>
        <v>0.92414662046331386</v>
      </c>
      <c r="F108" s="48">
        <f t="shared" si="63"/>
        <v>0.64228444444444432</v>
      </c>
      <c r="G108" s="48">
        <f t="shared" si="63"/>
        <v>0.67698888888888886</v>
      </c>
      <c r="H108" s="48">
        <f t="shared" si="63"/>
        <v>9.9905555555555553E-2</v>
      </c>
      <c r="I108" s="48">
        <f t="shared" si="63"/>
        <v>0.24339444444444441</v>
      </c>
      <c r="J108" s="48">
        <f t="shared" si="63"/>
        <v>3.1488888888888886E-2</v>
      </c>
      <c r="K108" s="48">
        <f t="shared" si="64"/>
        <v>1.4350636010949005</v>
      </c>
      <c r="L108" s="61">
        <f t="shared" si="65"/>
        <v>0.17407834013589457</v>
      </c>
      <c r="M108" s="48">
        <f t="shared" si="66"/>
        <v>1.362081635851826</v>
      </c>
      <c r="N108" s="61">
        <f t="shared" si="67"/>
        <v>3.0936669933133085E-2</v>
      </c>
      <c r="O108" s="167"/>
      <c r="P108" s="168"/>
      <c r="Q108" s="168"/>
      <c r="R108" s="168"/>
      <c r="S108" s="168"/>
      <c r="T108" s="168"/>
    </row>
    <row r="109" spans="1:23" ht="16" customHeight="1">
      <c r="B109" s="47" t="s">
        <v>405</v>
      </c>
      <c r="C109" s="47" t="str">
        <f t="shared" si="62"/>
        <v>Chemicals</v>
      </c>
      <c r="D109" s="48">
        <f t="shared" si="62"/>
        <v>9.629582965669764E-2</v>
      </c>
      <c r="E109" s="48">
        <f t="shared" si="63"/>
        <v>0.88082724762909592</v>
      </c>
      <c r="F109" s="48">
        <f t="shared" si="63"/>
        <v>0.78600000000000003</v>
      </c>
      <c r="G109" s="48">
        <f t="shared" si="63"/>
        <v>0.23478260869565218</v>
      </c>
      <c r="H109" s="48">
        <f t="shared" si="63"/>
        <v>0.42608695652173911</v>
      </c>
      <c r="I109" s="48">
        <f t="shared" si="63"/>
        <v>0.18</v>
      </c>
      <c r="J109" s="48">
        <f t="shared" si="63"/>
        <v>0.02</v>
      </c>
      <c r="K109" s="48">
        <f t="shared" si="64"/>
        <v>1.2726580853918634</v>
      </c>
      <c r="L109" s="61">
        <f t="shared" si="65"/>
        <v>0.15437797105056017</v>
      </c>
      <c r="M109" s="48">
        <f t="shared" si="66"/>
        <v>1.2539505612713386</v>
      </c>
      <c r="N109" s="61">
        <f t="shared" si="67"/>
        <v>2.8480711879106842E-2</v>
      </c>
      <c r="O109" s="167"/>
      <c r="P109" s="168"/>
      <c r="Q109" s="168"/>
      <c r="R109" s="168"/>
      <c r="S109" s="168"/>
      <c r="T109" s="168"/>
    </row>
    <row r="110" spans="1:23" ht="16" customHeight="1">
      <c r="B110" s="47" t="s">
        <v>405</v>
      </c>
      <c r="C110" s="47" t="str">
        <f t="shared" si="62"/>
        <v>Shipping</v>
      </c>
      <c r="D110" s="48">
        <f t="shared" si="62"/>
        <v>6.4197520227738933E-2</v>
      </c>
      <c r="E110" s="48">
        <f t="shared" si="63"/>
        <v>0.83750787479487809</v>
      </c>
      <c r="F110" s="48">
        <f t="shared" si="63"/>
        <v>0.78600000000000003</v>
      </c>
      <c r="G110" s="48">
        <f t="shared" si="63"/>
        <v>0.29090909090909089</v>
      </c>
      <c r="H110" s="48">
        <f t="shared" si="63"/>
        <v>0.3606060606060606</v>
      </c>
      <c r="I110" s="48">
        <f t="shared" si="63"/>
        <v>0.18</v>
      </c>
      <c r="J110" s="48">
        <f t="shared" si="63"/>
        <v>0.02</v>
      </c>
      <c r="K110" s="48">
        <f t="shared" si="64"/>
        <v>1.3214568114982244</v>
      </c>
      <c r="L110" s="61">
        <f t="shared" si="65"/>
        <v>0.16029743081168868</v>
      </c>
      <c r="M110" s="48">
        <f t="shared" si="66"/>
        <v>1.298765833199415</v>
      </c>
      <c r="N110" s="61">
        <f t="shared" si="67"/>
        <v>2.949859160019672E-2</v>
      </c>
      <c r="O110" s="167"/>
      <c r="P110" s="168"/>
      <c r="Q110" s="168"/>
      <c r="R110" s="168"/>
      <c r="S110" s="168"/>
      <c r="T110" s="168"/>
    </row>
    <row r="111" spans="1:23" ht="16" customHeight="1">
      <c r="B111" s="47" t="s">
        <v>405</v>
      </c>
      <c r="C111" s="47" t="str">
        <f t="shared" si="62"/>
        <v>Automotive</v>
      </c>
      <c r="D111" s="48">
        <f t="shared" si="62"/>
        <v>5.6790221257228386E-2</v>
      </c>
      <c r="E111" s="48">
        <f t="shared" si="63"/>
        <v>0.77974871101592103</v>
      </c>
      <c r="F111" s="48">
        <f t="shared" si="63"/>
        <v>0.7281428571428572</v>
      </c>
      <c r="G111" s="48">
        <f t="shared" si="63"/>
        <v>0.42857142857142855</v>
      </c>
      <c r="H111" s="48">
        <f t="shared" si="63"/>
        <v>0.19999999999999998</v>
      </c>
      <c r="I111" s="48">
        <f t="shared" si="63"/>
        <v>0.37285714285714283</v>
      </c>
      <c r="J111" s="48">
        <f t="shared" si="63"/>
        <v>0.02</v>
      </c>
      <c r="K111" s="48">
        <f t="shared" si="64"/>
        <v>1.4321973427242976</v>
      </c>
      <c r="L111" s="61">
        <f t="shared" si="65"/>
        <v>0.1737306527587118</v>
      </c>
      <c r="M111" s="48">
        <f t="shared" si="66"/>
        <v>1.4167845708250804</v>
      </c>
      <c r="N111" s="61">
        <f t="shared" si="67"/>
        <v>3.2179126037889874E-2</v>
      </c>
      <c r="O111" s="167"/>
      <c r="P111" s="168"/>
      <c r="Q111" s="168"/>
      <c r="R111" s="168"/>
      <c r="S111" s="168"/>
      <c r="T111" s="168"/>
    </row>
    <row r="112" spans="1:23" ht="16" customHeight="1">
      <c r="B112" s="47" t="s">
        <v>405</v>
      </c>
      <c r="C112" s="47" t="str">
        <f t="shared" si="62"/>
        <v>Agriculture &amp; Food</v>
      </c>
      <c r="D112" s="48">
        <f t="shared" si="62"/>
        <v>5.4321014526120003E-2</v>
      </c>
      <c r="E112" s="48">
        <f t="shared" si="63"/>
        <v>0.75808902459881233</v>
      </c>
      <c r="F112" s="48">
        <f t="shared" si="63"/>
        <v>0.79612658227848099</v>
      </c>
      <c r="G112" s="48">
        <f t="shared" si="63"/>
        <v>0.33417721518987337</v>
      </c>
      <c r="H112" s="48">
        <f t="shared" si="63"/>
        <v>0.310126582278481</v>
      </c>
      <c r="I112" s="48">
        <f t="shared" si="63"/>
        <v>0.18</v>
      </c>
      <c r="J112" s="48">
        <f t="shared" si="63"/>
        <v>0.02</v>
      </c>
      <c r="K112" s="48">
        <f t="shared" si="64"/>
        <v>1.3772284202013771</v>
      </c>
      <c r="L112" s="61">
        <f t="shared" si="65"/>
        <v>0.16706272613542636</v>
      </c>
      <c r="M112" s="48">
        <f t="shared" si="66"/>
        <v>1.3534730560077772</v>
      </c>
      <c r="N112" s="61">
        <f t="shared" si="67"/>
        <v>3.0741145093638567E-2</v>
      </c>
      <c r="O112" s="167"/>
      <c r="P112" s="168"/>
      <c r="Q112" s="168"/>
      <c r="R112" s="168"/>
      <c r="S112" s="168"/>
      <c r="T112" s="168"/>
    </row>
    <row r="113" spans="2:20" ht="16" customHeight="1">
      <c r="B113" s="47" t="s">
        <v>405</v>
      </c>
      <c r="C113" s="47" t="str">
        <f t="shared" si="62"/>
        <v>Real Estate</v>
      </c>
      <c r="D113" s="48">
        <f t="shared" si="62"/>
        <v>3.7037032793710359E-2</v>
      </c>
      <c r="E113" s="48">
        <f t="shared" si="63"/>
        <v>0.60647121967904993</v>
      </c>
      <c r="F113" s="48">
        <f t="shared" si="63"/>
        <v>0.86499999999999999</v>
      </c>
      <c r="G113" s="48">
        <f t="shared" si="63"/>
        <v>0.73461538461538456</v>
      </c>
      <c r="H113" s="48">
        <f t="shared" si="63"/>
        <v>6.7307692307692304E-2</v>
      </c>
      <c r="I113" s="48">
        <f t="shared" si="63"/>
        <v>0.45</v>
      </c>
      <c r="J113" s="48">
        <f t="shared" si="63"/>
        <v>0.02</v>
      </c>
      <c r="K113" s="48">
        <f t="shared" si="64"/>
        <v>1.7073818534854346</v>
      </c>
      <c r="L113" s="61">
        <f t="shared" si="65"/>
        <v>0.2071115167342584</v>
      </c>
      <c r="M113" s="48">
        <f t="shared" si="66"/>
        <v>1.6346278466391393</v>
      </c>
      <c r="N113" s="61">
        <f t="shared" si="67"/>
        <v>3.7126953938673019E-2</v>
      </c>
      <c r="O113" s="167"/>
      <c r="P113" s="168"/>
      <c r="Q113" s="168"/>
      <c r="R113" s="168"/>
      <c r="S113" s="168"/>
      <c r="T113" s="168"/>
    </row>
    <row r="114" spans="2:20" ht="16" customHeight="1">
      <c r="B114" s="47" t="s">
        <v>405</v>
      </c>
      <c r="C114" s="47" t="str">
        <f t="shared" si="62"/>
        <v>Retail &amp; Services</v>
      </c>
      <c r="D114" s="48">
        <f t="shared" si="62"/>
        <v>1.6049362106475677E-2</v>
      </c>
      <c r="E114" s="48">
        <f t="shared" si="63"/>
        <v>0.57037174231720156</v>
      </c>
      <c r="F114" s="48">
        <f t="shared" si="63"/>
        <v>0.86499999999999999</v>
      </c>
      <c r="G114" s="48">
        <f t="shared" si="63"/>
        <v>0.56666666666666665</v>
      </c>
      <c r="H114" s="48">
        <f t="shared" si="63"/>
        <v>0.16333333333333333</v>
      </c>
      <c r="I114" s="48">
        <f t="shared" si="63"/>
        <v>0.45</v>
      </c>
      <c r="J114" s="48">
        <f t="shared" si="63"/>
        <v>0.02</v>
      </c>
      <c r="K114" s="48">
        <f t="shared" si="64"/>
        <v>1.6337409891980341</v>
      </c>
      <c r="L114" s="61">
        <f t="shared" si="65"/>
        <v>0.19817861688818697</v>
      </c>
      <c r="M114" s="48">
        <f t="shared" si="66"/>
        <v>1.5934998432029654</v>
      </c>
      <c r="N114" s="61">
        <f t="shared" si="67"/>
        <v>3.6192822361076384E-2</v>
      </c>
      <c r="O114" s="167"/>
      <c r="P114" s="168"/>
      <c r="Q114" s="168"/>
      <c r="R114" s="168"/>
      <c r="S114" s="168"/>
      <c r="T114" s="168"/>
    </row>
    <row r="115" spans="2:20" ht="16" customHeight="1">
      <c r="B115" s="47" t="s">
        <v>407</v>
      </c>
      <c r="C115" s="47" t="str">
        <f t="shared" ref="C115:D125" si="68">B48</f>
        <v>Oil &amp; Gas</v>
      </c>
      <c r="D115" s="48">
        <f t="shared" si="68"/>
        <v>0.20370355829552153</v>
      </c>
      <c r="E115" s="48">
        <f t="shared" ref="E115:J125" si="69">F48</f>
        <v>1.2418220212475786</v>
      </c>
      <c r="F115" s="48">
        <f t="shared" si="69"/>
        <v>5.0234375000000005E-2</v>
      </c>
      <c r="G115" s="48">
        <f t="shared" si="69"/>
        <v>0</v>
      </c>
      <c r="H115" s="48">
        <f t="shared" si="69"/>
        <v>0.92734374999999991</v>
      </c>
      <c r="I115" s="48">
        <f t="shared" si="69"/>
        <v>0.05</v>
      </c>
      <c r="J115" s="48">
        <f t="shared" si="69"/>
        <v>0.35</v>
      </c>
      <c r="K115" s="48">
        <f t="shared" ref="K115:K125" si="70">MAX(0.35,MIN(1.75,1-$G$63*(E115-1)+$H$63*(F115-SUMPRODUCT($D$115:$D$125,$F$115:$F$125))+$I$63*(G115-SUMPRODUCT($D$115:$D$125,$G$115:$G$125))-$J$63*(H115-SUMPRODUCT($D$115:$D$125,$H$115:$H$125))-$O$63*(J115-SUMPRODUCT($D$115:$D$125,$J$115:$J$125))+$P$63*(I115-SUMPRODUCT($D$115:$D$125,$I$115:$I$125))))</f>
        <v>0.50358074443086198</v>
      </c>
      <c r="L115" s="61">
        <f t="shared" ref="L115:L125" si="71">$E$63*K115</f>
        <v>8.2953103002829279E-2</v>
      </c>
      <c r="M115" s="48">
        <f t="shared" ref="M115:M125" si="72">MAX(0.35,MIN(1.75,1-$K$63*(E115-1)+$L$63*(F115-SUMPRODUCT($D$115:$D$125,$F$115:$F$125))+$M$63*(G115-SUMPRODUCT($D$115:$D$125,$G$115:$G$125))-$N$63*(H115-SUMPRODUCT($D$115:$D$125,$H$115:$H$125))-0.2*(J115-SUMPRODUCT($D$115:$D$125,$J$115:$J$125))+0.25*(I115-SUMPRODUCT($D$115:$D$125,$I$115:$I$125))))</f>
        <v>0.53118234974400025</v>
      </c>
      <c r="N115" s="61">
        <f t="shared" ref="N115:N125" si="73">$F$63*M115</f>
        <v>1.688243934592551E-2</v>
      </c>
      <c r="O115" s="167"/>
      <c r="P115" s="168"/>
      <c r="Q115" s="168"/>
      <c r="R115" s="168"/>
      <c r="S115" s="168"/>
      <c r="T115" s="168"/>
    </row>
    <row r="116" spans="2:20" ht="16" customHeight="1">
      <c r="B116" s="47" t="s">
        <v>407</v>
      </c>
      <c r="C116" s="47" t="str">
        <f t="shared" si="68"/>
        <v>Cement</v>
      </c>
      <c r="D116" s="48">
        <f t="shared" si="68"/>
        <v>9.6295956467700491E-2</v>
      </c>
      <c r="E116" s="48">
        <f t="shared" si="69"/>
        <v>1.1551832755791425</v>
      </c>
      <c r="F116" s="48">
        <f t="shared" si="69"/>
        <v>0.12087096774193548</v>
      </c>
      <c r="G116" s="48">
        <f t="shared" si="69"/>
        <v>3.8709677419354833E-2</v>
      </c>
      <c r="H116" s="48">
        <f t="shared" si="69"/>
        <v>0.79999999999999993</v>
      </c>
      <c r="I116" s="48">
        <f t="shared" si="69"/>
        <v>8.4193548387096778E-2</v>
      </c>
      <c r="J116" s="48">
        <f t="shared" si="69"/>
        <v>0.10709677419354838</v>
      </c>
      <c r="K116" s="48">
        <f t="shared" si="70"/>
        <v>0.65381870612124982</v>
      </c>
      <c r="L116" s="61">
        <f t="shared" si="71"/>
        <v>0.10770127943503777</v>
      </c>
      <c r="M116" s="48">
        <f t="shared" si="72"/>
        <v>0.69610505387311417</v>
      </c>
      <c r="N116" s="61">
        <f t="shared" si="73"/>
        <v>2.212413751335833E-2</v>
      </c>
      <c r="O116" s="167"/>
      <c r="P116" s="168"/>
      <c r="Q116" s="168"/>
      <c r="R116" s="168"/>
      <c r="S116" s="168"/>
      <c r="T116" s="168"/>
    </row>
    <row r="117" spans="2:20" ht="16" customHeight="1">
      <c r="B117" s="47" t="s">
        <v>407</v>
      </c>
      <c r="C117" s="47" t="str">
        <f t="shared" si="68"/>
        <v>Steel</v>
      </c>
      <c r="D117" s="48">
        <f t="shared" si="68"/>
        <v>0.12222220745907365</v>
      </c>
      <c r="E117" s="48">
        <f t="shared" si="69"/>
        <v>1.1046440072725547</v>
      </c>
      <c r="F117" s="48">
        <f t="shared" si="69"/>
        <v>6.0000000000000005E-2</v>
      </c>
      <c r="G117" s="48">
        <f t="shared" si="69"/>
        <v>0</v>
      </c>
      <c r="H117" s="48">
        <f t="shared" si="69"/>
        <v>0.74230769230769222</v>
      </c>
      <c r="I117" s="48">
        <f t="shared" si="69"/>
        <v>0.05</v>
      </c>
      <c r="J117" s="48">
        <f t="shared" si="69"/>
        <v>0.12</v>
      </c>
      <c r="K117" s="48">
        <f t="shared" si="70"/>
        <v>0.62967808834386874</v>
      </c>
      <c r="L117" s="61">
        <f t="shared" si="71"/>
        <v>0.10372467950506574</v>
      </c>
      <c r="M117" s="48">
        <f t="shared" si="72"/>
        <v>0.6938635248275663</v>
      </c>
      <c r="N117" s="61">
        <f t="shared" si="73"/>
        <v>2.2052895541233634E-2</v>
      </c>
      <c r="O117" s="167"/>
      <c r="P117" s="168"/>
      <c r="Q117" s="168"/>
      <c r="R117" s="168"/>
      <c r="S117" s="168"/>
      <c r="T117" s="168"/>
    </row>
    <row r="118" spans="2:20" ht="16" customHeight="1">
      <c r="B118" s="47" t="s">
        <v>407</v>
      </c>
      <c r="C118" s="47" t="str">
        <f t="shared" si="68"/>
        <v>Aviation</v>
      </c>
      <c r="D118" s="48">
        <f t="shared" si="68"/>
        <v>7.7777957837227088E-2</v>
      </c>
      <c r="E118" s="48">
        <f t="shared" si="69"/>
        <v>1.0685445299107064</v>
      </c>
      <c r="F118" s="48">
        <f t="shared" si="69"/>
        <v>0.11598507462686568</v>
      </c>
      <c r="G118" s="48">
        <f t="shared" si="69"/>
        <v>3.5820895522388055E-2</v>
      </c>
      <c r="H118" s="48">
        <f t="shared" si="69"/>
        <v>0.77910447761194024</v>
      </c>
      <c r="I118" s="48">
        <f t="shared" si="69"/>
        <v>8.5522388059701485E-2</v>
      </c>
      <c r="J118" s="48">
        <f t="shared" si="69"/>
        <v>0.10507462686567165</v>
      </c>
      <c r="K118" s="48">
        <f t="shared" si="70"/>
        <v>0.68050116588578324</v>
      </c>
      <c r="L118" s="61">
        <f t="shared" si="71"/>
        <v>0.11209658814708498</v>
      </c>
      <c r="M118" s="48">
        <f t="shared" si="72"/>
        <v>0.73217767600295036</v>
      </c>
      <c r="N118" s="61">
        <f t="shared" si="73"/>
        <v>2.3270624883371564E-2</v>
      </c>
      <c r="O118" s="167"/>
      <c r="P118" s="168"/>
      <c r="Q118" s="168"/>
      <c r="R118" s="168"/>
      <c r="S118" s="168"/>
      <c r="T118" s="168"/>
    </row>
    <row r="119" spans="2:20" ht="16" customHeight="1">
      <c r="B119" s="47" t="s">
        <v>407</v>
      </c>
      <c r="C119" s="47" t="str">
        <f t="shared" si="68"/>
        <v>Power &amp; Utilities</v>
      </c>
      <c r="D119" s="48">
        <f t="shared" si="68"/>
        <v>0.17530933937250623</v>
      </c>
      <c r="E119" s="48">
        <f t="shared" si="69"/>
        <v>0.92414662046331386</v>
      </c>
      <c r="F119" s="48">
        <f t="shared" si="69"/>
        <v>0.64228444444444432</v>
      </c>
      <c r="G119" s="48">
        <f t="shared" si="69"/>
        <v>0.67698888888888886</v>
      </c>
      <c r="H119" s="48">
        <f t="shared" si="69"/>
        <v>9.9905555555555553E-2</v>
      </c>
      <c r="I119" s="48">
        <f t="shared" si="69"/>
        <v>0.24339444444444441</v>
      </c>
      <c r="J119" s="48">
        <f t="shared" si="69"/>
        <v>3.1488888888888886E-2</v>
      </c>
      <c r="K119" s="48">
        <f t="shared" si="70"/>
        <v>1.4350636010949005</v>
      </c>
      <c r="L119" s="61">
        <f t="shared" si="71"/>
        <v>0.23639303137330372</v>
      </c>
      <c r="M119" s="48">
        <f t="shared" si="72"/>
        <v>1.362081635851826</v>
      </c>
      <c r="N119" s="61">
        <f t="shared" si="73"/>
        <v>4.3290709136984427E-2</v>
      </c>
      <c r="O119" s="167"/>
      <c r="P119" s="168"/>
      <c r="Q119" s="168"/>
      <c r="R119" s="168"/>
      <c r="S119" s="168"/>
      <c r="T119" s="168"/>
    </row>
    <row r="120" spans="2:20" ht="16" customHeight="1">
      <c r="B120" s="47" t="s">
        <v>407</v>
      </c>
      <c r="C120" s="47" t="str">
        <f t="shared" si="68"/>
        <v>Chemicals</v>
      </c>
      <c r="D120" s="48">
        <f t="shared" si="68"/>
        <v>9.629582965669764E-2</v>
      </c>
      <c r="E120" s="48">
        <f t="shared" si="69"/>
        <v>0.88082724762909592</v>
      </c>
      <c r="F120" s="48">
        <f t="shared" si="69"/>
        <v>0.78600000000000003</v>
      </c>
      <c r="G120" s="48">
        <f t="shared" si="69"/>
        <v>0.23478260869565218</v>
      </c>
      <c r="H120" s="48">
        <f t="shared" si="69"/>
        <v>0.42608695652173911</v>
      </c>
      <c r="I120" s="48">
        <f t="shared" si="69"/>
        <v>0.18</v>
      </c>
      <c r="J120" s="48">
        <f t="shared" si="69"/>
        <v>0.02</v>
      </c>
      <c r="K120" s="48">
        <f t="shared" si="70"/>
        <v>1.2726580853918634</v>
      </c>
      <c r="L120" s="61">
        <f t="shared" si="71"/>
        <v>0.20964053612536188</v>
      </c>
      <c r="M120" s="48">
        <f t="shared" si="72"/>
        <v>1.2539505612713386</v>
      </c>
      <c r="N120" s="61">
        <f t="shared" si="73"/>
        <v>3.985400550988797E-2</v>
      </c>
      <c r="O120" s="167" t="s">
        <v>425</v>
      </c>
      <c r="P120" s="168"/>
      <c r="Q120" s="168"/>
      <c r="R120" s="168"/>
      <c r="S120" s="168"/>
      <c r="T120" s="168"/>
    </row>
    <row r="121" spans="2:20" ht="16" customHeight="1">
      <c r="B121" s="47" t="s">
        <v>407</v>
      </c>
      <c r="C121" s="47" t="str">
        <f t="shared" si="68"/>
        <v>Shipping</v>
      </c>
      <c r="D121" s="48">
        <f t="shared" si="68"/>
        <v>6.4197520227738933E-2</v>
      </c>
      <c r="E121" s="48">
        <f t="shared" si="69"/>
        <v>0.83750787479487809</v>
      </c>
      <c r="F121" s="48">
        <f t="shared" si="69"/>
        <v>0.78600000000000003</v>
      </c>
      <c r="G121" s="48">
        <f t="shared" si="69"/>
        <v>0.29090909090909089</v>
      </c>
      <c r="H121" s="48">
        <f t="shared" si="69"/>
        <v>0.3606060606060606</v>
      </c>
      <c r="I121" s="48">
        <f t="shared" si="69"/>
        <v>0.18</v>
      </c>
      <c r="J121" s="48">
        <f t="shared" si="69"/>
        <v>0.02</v>
      </c>
      <c r="K121" s="48">
        <f t="shared" si="70"/>
        <v>1.3214568114982244</v>
      </c>
      <c r="L121" s="61">
        <f t="shared" si="71"/>
        <v>0.21767898040242176</v>
      </c>
      <c r="M121" s="48">
        <f t="shared" si="72"/>
        <v>1.298765833199415</v>
      </c>
      <c r="N121" s="61">
        <f t="shared" si="73"/>
        <v>4.1278358390704775E-2</v>
      </c>
      <c r="O121" s="167"/>
      <c r="P121" s="168"/>
      <c r="Q121" s="168"/>
      <c r="R121" s="168"/>
      <c r="S121" s="168"/>
      <c r="T121" s="168"/>
    </row>
    <row r="122" spans="2:20" ht="16" customHeight="1">
      <c r="B122" s="47" t="s">
        <v>407</v>
      </c>
      <c r="C122" s="47" t="str">
        <f t="shared" si="68"/>
        <v>Automotive</v>
      </c>
      <c r="D122" s="48">
        <f t="shared" si="68"/>
        <v>5.6790221257228386E-2</v>
      </c>
      <c r="E122" s="48">
        <f t="shared" si="69"/>
        <v>0.77974871101592103</v>
      </c>
      <c r="F122" s="48">
        <f t="shared" si="69"/>
        <v>0.7281428571428572</v>
      </c>
      <c r="G122" s="48">
        <f t="shared" si="69"/>
        <v>0.42857142857142855</v>
      </c>
      <c r="H122" s="48">
        <f t="shared" si="69"/>
        <v>0.19999999999999998</v>
      </c>
      <c r="I122" s="48">
        <f t="shared" si="69"/>
        <v>0.37285714285714283</v>
      </c>
      <c r="J122" s="48">
        <f t="shared" si="69"/>
        <v>0.02</v>
      </c>
      <c r="K122" s="48">
        <f t="shared" si="70"/>
        <v>1.4321973427242976</v>
      </c>
      <c r="L122" s="61">
        <f t="shared" si="71"/>
        <v>0.23592088260971653</v>
      </c>
      <c r="M122" s="48">
        <f t="shared" si="72"/>
        <v>1.4167845708250804</v>
      </c>
      <c r="N122" s="61">
        <f t="shared" si="73"/>
        <v>4.502931920596575E-2</v>
      </c>
      <c r="O122" s="167"/>
      <c r="P122" s="168"/>
      <c r="Q122" s="168"/>
      <c r="R122" s="168"/>
      <c r="S122" s="168"/>
      <c r="T122" s="168"/>
    </row>
    <row r="123" spans="2:20" ht="16" customHeight="1">
      <c r="B123" s="47" t="s">
        <v>407</v>
      </c>
      <c r="C123" s="47" t="str">
        <f t="shared" si="68"/>
        <v>Agriculture &amp; Food</v>
      </c>
      <c r="D123" s="48">
        <f t="shared" si="68"/>
        <v>5.4321014526120003E-2</v>
      </c>
      <c r="E123" s="48">
        <f t="shared" si="69"/>
        <v>0.75808902459881233</v>
      </c>
      <c r="F123" s="48">
        <f t="shared" si="69"/>
        <v>0.79612658227848099</v>
      </c>
      <c r="G123" s="48">
        <f t="shared" si="69"/>
        <v>0.33417721518987337</v>
      </c>
      <c r="H123" s="48">
        <f t="shared" si="69"/>
        <v>0.310126582278481</v>
      </c>
      <c r="I123" s="48">
        <f t="shared" si="69"/>
        <v>0.18</v>
      </c>
      <c r="J123" s="48">
        <f t="shared" si="69"/>
        <v>0.02</v>
      </c>
      <c r="K123" s="48">
        <f t="shared" si="70"/>
        <v>1.3772284202013771</v>
      </c>
      <c r="L123" s="61">
        <f t="shared" si="71"/>
        <v>0.22686604335617871</v>
      </c>
      <c r="M123" s="48">
        <f t="shared" si="72"/>
        <v>1.3534730560077772</v>
      </c>
      <c r="N123" s="61">
        <f t="shared" si="73"/>
        <v>4.3017104738905777E-2</v>
      </c>
      <c r="O123" s="167"/>
      <c r="P123" s="168"/>
      <c r="Q123" s="168"/>
      <c r="R123" s="168"/>
      <c r="S123" s="168"/>
      <c r="T123" s="168"/>
    </row>
    <row r="124" spans="2:20" ht="16" customHeight="1">
      <c r="B124" s="47" t="s">
        <v>407</v>
      </c>
      <c r="C124" s="47" t="str">
        <f t="shared" si="68"/>
        <v>Real Estate</v>
      </c>
      <c r="D124" s="48">
        <f t="shared" si="68"/>
        <v>3.7037032793710359E-2</v>
      </c>
      <c r="E124" s="48">
        <f t="shared" si="69"/>
        <v>0.60647121967904993</v>
      </c>
      <c r="F124" s="48">
        <f t="shared" si="69"/>
        <v>0.86499999999999999</v>
      </c>
      <c r="G124" s="48">
        <f t="shared" si="69"/>
        <v>0.73461538461538456</v>
      </c>
      <c r="H124" s="48">
        <f t="shared" si="69"/>
        <v>6.7307692307692304E-2</v>
      </c>
      <c r="I124" s="48">
        <f t="shared" si="69"/>
        <v>0.45</v>
      </c>
      <c r="J124" s="48">
        <f t="shared" si="69"/>
        <v>0.02</v>
      </c>
      <c r="K124" s="48">
        <f t="shared" si="70"/>
        <v>1.7073818534854346</v>
      </c>
      <c r="L124" s="61">
        <f t="shared" si="71"/>
        <v>0.28125106911585651</v>
      </c>
      <c r="M124" s="48">
        <f t="shared" si="72"/>
        <v>1.6346278466391393</v>
      </c>
      <c r="N124" s="61">
        <f t="shared" si="73"/>
        <v>5.1952979023768477E-2</v>
      </c>
      <c r="O124" s="167"/>
      <c r="P124" s="168"/>
      <c r="Q124" s="168"/>
      <c r="R124" s="168"/>
      <c r="S124" s="168"/>
      <c r="T124" s="168"/>
    </row>
    <row r="125" spans="2:20" ht="16" customHeight="1">
      <c r="B125" s="47" t="s">
        <v>407</v>
      </c>
      <c r="C125" s="47" t="str">
        <f t="shared" si="68"/>
        <v>Retail &amp; Services</v>
      </c>
      <c r="D125" s="48">
        <f t="shared" si="68"/>
        <v>1.6049362106475677E-2</v>
      </c>
      <c r="E125" s="48">
        <f t="shared" si="69"/>
        <v>0.57037174231720156</v>
      </c>
      <c r="F125" s="48">
        <f t="shared" si="69"/>
        <v>0.86499999999999999</v>
      </c>
      <c r="G125" s="48">
        <f t="shared" si="69"/>
        <v>0.56666666666666665</v>
      </c>
      <c r="H125" s="48">
        <f t="shared" si="69"/>
        <v>0.16333333333333333</v>
      </c>
      <c r="I125" s="48">
        <f t="shared" si="69"/>
        <v>0.45</v>
      </c>
      <c r="J125" s="48">
        <f t="shared" si="69"/>
        <v>0.02</v>
      </c>
      <c r="K125" s="48">
        <f t="shared" si="70"/>
        <v>1.6337409891980341</v>
      </c>
      <c r="L125" s="61">
        <f t="shared" si="71"/>
        <v>0.26912046589480981</v>
      </c>
      <c r="M125" s="48">
        <f t="shared" si="72"/>
        <v>1.5934998432029654</v>
      </c>
      <c r="N125" s="61">
        <f t="shared" si="73"/>
        <v>5.0645817700044421E-2</v>
      </c>
      <c r="O125" s="167"/>
      <c r="P125" s="168"/>
      <c r="Q125" s="168"/>
      <c r="R125" s="168"/>
      <c r="S125" s="168"/>
      <c r="T125" s="168"/>
    </row>
    <row r="126" spans="2:20" ht="16" customHeight="1">
      <c r="B126" s="47" t="s">
        <v>409</v>
      </c>
      <c r="C126" s="47" t="str">
        <f t="shared" ref="C126:D136" si="74">B48</f>
        <v>Oil &amp; Gas</v>
      </c>
      <c r="D126" s="48">
        <f t="shared" si="74"/>
        <v>0.20370355829552153</v>
      </c>
      <c r="E126" s="48">
        <f t="shared" ref="E126:J136" si="75">F48</f>
        <v>1.2418220212475786</v>
      </c>
      <c r="F126" s="48">
        <f t="shared" si="75"/>
        <v>5.0234375000000005E-2</v>
      </c>
      <c r="G126" s="48">
        <f t="shared" si="75"/>
        <v>0</v>
      </c>
      <c r="H126" s="48">
        <f t="shared" si="75"/>
        <v>0.92734374999999991</v>
      </c>
      <c r="I126" s="48">
        <f t="shared" si="75"/>
        <v>0.05</v>
      </c>
      <c r="J126" s="48">
        <f t="shared" si="75"/>
        <v>0.35</v>
      </c>
      <c r="K126" s="48">
        <f t="shared" ref="K126:K136" si="76">MAX(0.35,MIN(1.75,1-$G$64*(E126-1)+$H$64*(F126-SUMPRODUCT($D$126:$D$136,$F$126:$F$136))+$I$64*(G126-SUMPRODUCT($D$126:$D$136,$G$126:$G$136))-$J$64*(H126-SUMPRODUCT($D$126:$D$136,$H$126:$H$136))-$O$64*(J126-SUMPRODUCT($D$126:$D$136,$J$126:$J$136))+$P$64*(I126-SUMPRODUCT($D$126:$D$136,$I$126:$I$136))))</f>
        <v>0.50358074443086198</v>
      </c>
      <c r="L126" s="61">
        <f t="shared" ref="L126:L136" si="77">$E$64*K126</f>
        <v>0.10538335432431563</v>
      </c>
      <c r="M126" s="48">
        <f t="shared" ref="M126:M136" si="78">MAX(0.35,MIN(1.75,1-$K$64*(E126-1)+$L$64*(F126-SUMPRODUCT($D$126:$D$136,$F$126:$F$136))+$M$64*(G126-SUMPRODUCT($D$126:$D$136,$G$126:$G$136))-$N$64*(H126-SUMPRODUCT($D$126:$D$136,$H$126:$H$136))-0.2*(J126-SUMPRODUCT($D$126:$D$136,$J$126:$J$136))+0.25*(I126-SUMPRODUCT($D$126:$D$136,$I$126:$I$136))))</f>
        <v>0.53118234974400025</v>
      </c>
      <c r="N126" s="61">
        <f t="shared" ref="N126:N136" si="79">$F$64*M126</f>
        <v>2.8070563250028942E-2</v>
      </c>
      <c r="O126" s="167"/>
      <c r="P126" s="168"/>
      <c r="Q126" s="168"/>
      <c r="R126" s="168"/>
      <c r="S126" s="168"/>
      <c r="T126" s="168"/>
    </row>
    <row r="127" spans="2:20" ht="16" customHeight="1">
      <c r="B127" s="47" t="s">
        <v>409</v>
      </c>
      <c r="C127" s="47" t="str">
        <f t="shared" si="74"/>
        <v>Cement</v>
      </c>
      <c r="D127" s="48">
        <f t="shared" si="74"/>
        <v>9.6295956467700491E-2</v>
      </c>
      <c r="E127" s="48">
        <f t="shared" si="75"/>
        <v>1.1551832755791425</v>
      </c>
      <c r="F127" s="48">
        <f t="shared" si="75"/>
        <v>0.12087096774193548</v>
      </c>
      <c r="G127" s="48">
        <f t="shared" si="75"/>
        <v>3.8709677419354833E-2</v>
      </c>
      <c r="H127" s="48">
        <f t="shared" si="75"/>
        <v>0.79999999999999993</v>
      </c>
      <c r="I127" s="48">
        <f t="shared" si="75"/>
        <v>8.4193548387096778E-2</v>
      </c>
      <c r="J127" s="48">
        <f t="shared" si="75"/>
        <v>0.10709677419354838</v>
      </c>
      <c r="K127" s="48">
        <f t="shared" si="76"/>
        <v>0.65381870612124982</v>
      </c>
      <c r="L127" s="61">
        <f t="shared" si="77"/>
        <v>0.13682335778925114</v>
      </c>
      <c r="M127" s="48">
        <f t="shared" si="78"/>
        <v>0.69610505387311417</v>
      </c>
      <c r="N127" s="61">
        <f t="shared" si="79"/>
        <v>3.67859755747292E-2</v>
      </c>
      <c r="O127" s="167"/>
      <c r="P127" s="168"/>
      <c r="Q127" s="168"/>
      <c r="R127" s="168"/>
      <c r="S127" s="168"/>
      <c r="T127" s="168"/>
    </row>
    <row r="128" spans="2:20" ht="16" customHeight="1">
      <c r="B128" s="47" t="s">
        <v>409</v>
      </c>
      <c r="C128" s="47" t="str">
        <f t="shared" si="74"/>
        <v>Steel</v>
      </c>
      <c r="D128" s="48">
        <f t="shared" si="74"/>
        <v>0.12222220745907365</v>
      </c>
      <c r="E128" s="48">
        <f t="shared" si="75"/>
        <v>1.1046440072725547</v>
      </c>
      <c r="F128" s="48">
        <f t="shared" si="75"/>
        <v>6.0000000000000005E-2</v>
      </c>
      <c r="G128" s="48">
        <f t="shared" si="75"/>
        <v>0</v>
      </c>
      <c r="H128" s="48">
        <f t="shared" si="75"/>
        <v>0.74230769230769222</v>
      </c>
      <c r="I128" s="48">
        <f t="shared" si="75"/>
        <v>0.05</v>
      </c>
      <c r="J128" s="48">
        <f t="shared" si="75"/>
        <v>0.12</v>
      </c>
      <c r="K128" s="48">
        <f t="shared" si="76"/>
        <v>0.62967808834386874</v>
      </c>
      <c r="L128" s="61">
        <f t="shared" si="77"/>
        <v>0.13177149807265925</v>
      </c>
      <c r="M128" s="48">
        <f t="shared" si="78"/>
        <v>0.6938635248275663</v>
      </c>
      <c r="N128" s="61">
        <f t="shared" si="79"/>
        <v>3.6667520993397283E-2</v>
      </c>
      <c r="O128" s="167"/>
      <c r="P128" s="168"/>
      <c r="Q128" s="168"/>
      <c r="R128" s="168"/>
      <c r="S128" s="168"/>
      <c r="T128" s="168"/>
    </row>
    <row r="129" spans="1:20" ht="16" customHeight="1">
      <c r="B129" s="47" t="s">
        <v>409</v>
      </c>
      <c r="C129" s="47" t="str">
        <f t="shared" si="74"/>
        <v>Aviation</v>
      </c>
      <c r="D129" s="48">
        <f t="shared" si="74"/>
        <v>7.7777957837227088E-2</v>
      </c>
      <c r="E129" s="48">
        <f t="shared" si="75"/>
        <v>1.0685445299107064</v>
      </c>
      <c r="F129" s="48">
        <f t="shared" si="75"/>
        <v>0.11598507462686568</v>
      </c>
      <c r="G129" s="48">
        <f t="shared" si="75"/>
        <v>3.5820895522388055E-2</v>
      </c>
      <c r="H129" s="48">
        <f t="shared" si="75"/>
        <v>0.77910447761194024</v>
      </c>
      <c r="I129" s="48">
        <f t="shared" si="75"/>
        <v>8.5522388059701485E-2</v>
      </c>
      <c r="J129" s="48">
        <f t="shared" si="75"/>
        <v>0.10507462686567165</v>
      </c>
      <c r="K129" s="48">
        <f t="shared" si="76"/>
        <v>0.68050116588578324</v>
      </c>
      <c r="L129" s="61">
        <f t="shared" si="77"/>
        <v>0.14240714379121208</v>
      </c>
      <c r="M129" s="48">
        <f t="shared" si="78"/>
        <v>0.73217767600295036</v>
      </c>
      <c r="N129" s="61">
        <f t="shared" si="79"/>
        <v>3.8692249044805845E-2</v>
      </c>
      <c r="O129" s="167"/>
      <c r="P129" s="168"/>
      <c r="Q129" s="168"/>
      <c r="R129" s="168"/>
      <c r="S129" s="168"/>
      <c r="T129" s="168"/>
    </row>
    <row r="130" spans="1:20" ht="16" customHeight="1">
      <c r="B130" s="47" t="s">
        <v>409</v>
      </c>
      <c r="C130" s="47" t="str">
        <f t="shared" si="74"/>
        <v>Power &amp; Utilities</v>
      </c>
      <c r="D130" s="48">
        <f t="shared" si="74"/>
        <v>0.17530933937250623</v>
      </c>
      <c r="E130" s="48">
        <f t="shared" si="75"/>
        <v>0.92414662046331386</v>
      </c>
      <c r="F130" s="48">
        <f t="shared" si="75"/>
        <v>0.64228444444444432</v>
      </c>
      <c r="G130" s="48">
        <f t="shared" si="75"/>
        <v>0.67698888888888886</v>
      </c>
      <c r="H130" s="48">
        <f t="shared" si="75"/>
        <v>9.9905555555555553E-2</v>
      </c>
      <c r="I130" s="48">
        <f t="shared" si="75"/>
        <v>0.24339444444444441</v>
      </c>
      <c r="J130" s="48">
        <f t="shared" si="75"/>
        <v>3.1488888888888886E-2</v>
      </c>
      <c r="K130" s="48">
        <f t="shared" si="76"/>
        <v>1.4350636010949005</v>
      </c>
      <c r="L130" s="61">
        <f t="shared" si="77"/>
        <v>0.30031294410002068</v>
      </c>
      <c r="M130" s="48">
        <f t="shared" si="78"/>
        <v>1.362081635851826</v>
      </c>
      <c r="N130" s="61">
        <f t="shared" si="79"/>
        <v>7.1979798894500888E-2</v>
      </c>
      <c r="O130" s="167"/>
      <c r="P130" s="168"/>
      <c r="Q130" s="168"/>
      <c r="R130" s="168"/>
      <c r="S130" s="168"/>
      <c r="T130" s="168"/>
    </row>
    <row r="131" spans="1:20" ht="16" customHeight="1">
      <c r="B131" s="47" t="s">
        <v>409</v>
      </c>
      <c r="C131" s="47" t="str">
        <f t="shared" si="74"/>
        <v>Chemicals</v>
      </c>
      <c r="D131" s="48">
        <f t="shared" si="74"/>
        <v>9.629582965669764E-2</v>
      </c>
      <c r="E131" s="48">
        <f t="shared" si="75"/>
        <v>0.88082724762909592</v>
      </c>
      <c r="F131" s="48">
        <f t="shared" si="75"/>
        <v>0.78600000000000003</v>
      </c>
      <c r="G131" s="48">
        <f t="shared" si="75"/>
        <v>0.23478260869565218</v>
      </c>
      <c r="H131" s="48">
        <f t="shared" si="75"/>
        <v>0.42608695652173911</v>
      </c>
      <c r="I131" s="48">
        <f t="shared" si="75"/>
        <v>0.18</v>
      </c>
      <c r="J131" s="48">
        <f t="shared" si="75"/>
        <v>0.02</v>
      </c>
      <c r="K131" s="48">
        <f t="shared" si="76"/>
        <v>1.2726580853918634</v>
      </c>
      <c r="L131" s="61">
        <f t="shared" si="77"/>
        <v>0.26632666048050052</v>
      </c>
      <c r="M131" s="48">
        <f t="shared" si="78"/>
        <v>1.2539505612713386</v>
      </c>
      <c r="N131" s="61">
        <f t="shared" si="79"/>
        <v>6.6265565035322369E-2</v>
      </c>
      <c r="O131" s="167"/>
      <c r="P131" s="168"/>
      <c r="Q131" s="168"/>
      <c r="R131" s="168"/>
      <c r="S131" s="168"/>
      <c r="T131" s="168"/>
    </row>
    <row r="132" spans="1:20" ht="16" customHeight="1">
      <c r="B132" s="47" t="s">
        <v>409</v>
      </c>
      <c r="C132" s="47" t="str">
        <f t="shared" si="74"/>
        <v>Shipping</v>
      </c>
      <c r="D132" s="48">
        <f t="shared" si="74"/>
        <v>6.4197520227738933E-2</v>
      </c>
      <c r="E132" s="48">
        <f t="shared" si="75"/>
        <v>0.83750787479487809</v>
      </c>
      <c r="F132" s="48">
        <f t="shared" si="75"/>
        <v>0.78600000000000003</v>
      </c>
      <c r="G132" s="48">
        <f t="shared" si="75"/>
        <v>0.29090909090909089</v>
      </c>
      <c r="H132" s="48">
        <f t="shared" si="75"/>
        <v>0.3606060606060606</v>
      </c>
      <c r="I132" s="48">
        <f t="shared" si="75"/>
        <v>0.18</v>
      </c>
      <c r="J132" s="48">
        <f t="shared" si="75"/>
        <v>0.02</v>
      </c>
      <c r="K132" s="48">
        <f t="shared" si="76"/>
        <v>1.3214568114982244</v>
      </c>
      <c r="L132" s="61">
        <f t="shared" si="77"/>
        <v>0.27653867414606254</v>
      </c>
      <c r="M132" s="48">
        <f t="shared" si="78"/>
        <v>1.298765833199415</v>
      </c>
      <c r="N132" s="61">
        <f t="shared" si="79"/>
        <v>6.8633847652074587E-2</v>
      </c>
      <c r="O132" s="167"/>
      <c r="P132" s="168"/>
      <c r="Q132" s="168"/>
      <c r="R132" s="168"/>
      <c r="S132" s="168"/>
      <c r="T132" s="168"/>
    </row>
    <row r="133" spans="1:20" ht="16" customHeight="1">
      <c r="B133" s="47" t="s">
        <v>409</v>
      </c>
      <c r="C133" s="47" t="str">
        <f t="shared" si="74"/>
        <v>Automotive</v>
      </c>
      <c r="D133" s="48">
        <f t="shared" si="74"/>
        <v>5.6790221257228386E-2</v>
      </c>
      <c r="E133" s="48">
        <f t="shared" si="75"/>
        <v>0.77974871101592103</v>
      </c>
      <c r="F133" s="48">
        <f t="shared" si="75"/>
        <v>0.7281428571428572</v>
      </c>
      <c r="G133" s="48">
        <f t="shared" si="75"/>
        <v>0.42857142857142855</v>
      </c>
      <c r="H133" s="48">
        <f t="shared" si="75"/>
        <v>0.19999999999999998</v>
      </c>
      <c r="I133" s="48">
        <f t="shared" si="75"/>
        <v>0.37285714285714283</v>
      </c>
      <c r="J133" s="48">
        <f t="shared" si="75"/>
        <v>0.02</v>
      </c>
      <c r="K133" s="48">
        <f t="shared" si="76"/>
        <v>1.4321973427242976</v>
      </c>
      <c r="L133" s="61">
        <f t="shared" si="77"/>
        <v>0.29971312783461584</v>
      </c>
      <c r="M133" s="48">
        <f t="shared" si="78"/>
        <v>1.4167845708250804</v>
      </c>
      <c r="N133" s="61">
        <f t="shared" si="79"/>
        <v>7.4870599383012978E-2</v>
      </c>
      <c r="O133" s="167"/>
      <c r="P133" s="168"/>
      <c r="Q133" s="168"/>
      <c r="R133" s="168"/>
      <c r="S133" s="168"/>
      <c r="T133" s="168"/>
    </row>
    <row r="134" spans="1:20" ht="16" customHeight="1">
      <c r="B134" s="47" t="s">
        <v>409</v>
      </c>
      <c r="C134" s="47" t="str">
        <f t="shared" si="74"/>
        <v>Agriculture &amp; Food</v>
      </c>
      <c r="D134" s="48">
        <f t="shared" si="74"/>
        <v>5.4321014526120003E-2</v>
      </c>
      <c r="E134" s="48">
        <f t="shared" si="75"/>
        <v>0.75808902459881233</v>
      </c>
      <c r="F134" s="48">
        <f t="shared" si="75"/>
        <v>0.79612658227848099</v>
      </c>
      <c r="G134" s="48">
        <f t="shared" si="75"/>
        <v>0.33417721518987337</v>
      </c>
      <c r="H134" s="48">
        <f t="shared" si="75"/>
        <v>0.310126582278481</v>
      </c>
      <c r="I134" s="48">
        <f t="shared" si="75"/>
        <v>0.18</v>
      </c>
      <c r="J134" s="48">
        <f t="shared" si="75"/>
        <v>0.02</v>
      </c>
      <c r="K134" s="48">
        <f t="shared" si="76"/>
        <v>1.3772284202013771</v>
      </c>
      <c r="L134" s="61">
        <f t="shared" si="77"/>
        <v>0.28820988927134294</v>
      </c>
      <c r="M134" s="48">
        <f t="shared" si="78"/>
        <v>1.3534730560077772</v>
      </c>
      <c r="N134" s="61">
        <f t="shared" si="79"/>
        <v>7.1524874733105551E-2</v>
      </c>
      <c r="O134" s="167"/>
      <c r="P134" s="168"/>
      <c r="Q134" s="168"/>
      <c r="R134" s="168"/>
      <c r="S134" s="168"/>
      <c r="T134" s="168"/>
    </row>
    <row r="135" spans="1:20" ht="16" customHeight="1">
      <c r="B135" s="47" t="s">
        <v>409</v>
      </c>
      <c r="C135" s="47" t="str">
        <f t="shared" si="74"/>
        <v>Real Estate</v>
      </c>
      <c r="D135" s="48">
        <f t="shared" si="74"/>
        <v>3.7037032793710359E-2</v>
      </c>
      <c r="E135" s="48">
        <f t="shared" si="75"/>
        <v>0.60647121967904993</v>
      </c>
      <c r="F135" s="48">
        <f t="shared" si="75"/>
        <v>0.86499999999999999</v>
      </c>
      <c r="G135" s="48">
        <f t="shared" si="75"/>
        <v>0.73461538461538456</v>
      </c>
      <c r="H135" s="48">
        <f t="shared" si="75"/>
        <v>6.7307692307692304E-2</v>
      </c>
      <c r="I135" s="48">
        <f t="shared" si="75"/>
        <v>0.45</v>
      </c>
      <c r="J135" s="48">
        <f t="shared" si="75"/>
        <v>0.02</v>
      </c>
      <c r="K135" s="48">
        <f t="shared" si="76"/>
        <v>1.7073818534854346</v>
      </c>
      <c r="L135" s="61">
        <f t="shared" si="77"/>
        <v>0.3573004504692005</v>
      </c>
      <c r="M135" s="48">
        <f t="shared" si="78"/>
        <v>1.6346278466391393</v>
      </c>
      <c r="N135" s="61">
        <f t="shared" si="79"/>
        <v>8.6382622429861416E-2</v>
      </c>
      <c r="O135" s="167"/>
      <c r="P135" s="168"/>
      <c r="Q135" s="168"/>
      <c r="R135" s="168"/>
      <c r="S135" s="168"/>
      <c r="T135" s="168"/>
    </row>
    <row r="136" spans="1:20" ht="16" customHeight="1">
      <c r="B136" s="47" t="s">
        <v>409</v>
      </c>
      <c r="C136" s="47" t="str">
        <f t="shared" si="74"/>
        <v>Retail &amp; Services</v>
      </c>
      <c r="D136" s="48">
        <f t="shared" si="74"/>
        <v>1.6049362106475677E-2</v>
      </c>
      <c r="E136" s="48">
        <f t="shared" si="75"/>
        <v>0.57037174231720156</v>
      </c>
      <c r="F136" s="48">
        <f t="shared" si="75"/>
        <v>0.86499999999999999</v>
      </c>
      <c r="G136" s="48">
        <f t="shared" si="75"/>
        <v>0.56666666666666665</v>
      </c>
      <c r="H136" s="48">
        <f t="shared" si="75"/>
        <v>0.16333333333333333</v>
      </c>
      <c r="I136" s="48">
        <f t="shared" si="75"/>
        <v>0.45</v>
      </c>
      <c r="J136" s="48">
        <f t="shared" si="75"/>
        <v>0.02</v>
      </c>
      <c r="K136" s="48">
        <f t="shared" si="76"/>
        <v>1.6337409891980341</v>
      </c>
      <c r="L136" s="61">
        <f t="shared" si="77"/>
        <v>0.34188977128860798</v>
      </c>
      <c r="M136" s="48">
        <f t="shared" si="78"/>
        <v>1.5934998432029654</v>
      </c>
      <c r="N136" s="61">
        <f t="shared" si="79"/>
        <v>8.4209195126866657E-2</v>
      </c>
      <c r="O136" s="167"/>
      <c r="P136" s="168"/>
      <c r="Q136" s="168"/>
      <c r="R136" s="168"/>
      <c r="S136" s="168"/>
      <c r="T136" s="168"/>
    </row>
    <row r="137" spans="1:20" ht="26" customHeight="1"/>
    <row r="138" spans="1:20" ht="22" customHeight="1">
      <c r="A138" t="s">
        <v>11</v>
      </c>
      <c r="B138" s="42" t="s">
        <v>426</v>
      </c>
      <c r="C138" s="35"/>
      <c r="D138" s="35"/>
      <c r="E138" s="35"/>
      <c r="F138" s="35"/>
      <c r="G138" s="35"/>
      <c r="H138" s="35"/>
      <c r="I138" s="35"/>
      <c r="J138" s="35"/>
      <c r="K138" s="35"/>
      <c r="L138" s="35"/>
      <c r="M138" s="35"/>
      <c r="N138" s="35"/>
      <c r="O138" s="35"/>
      <c r="P138" s="35"/>
      <c r="Q138" s="35"/>
      <c r="R138" s="35"/>
      <c r="S138" s="35"/>
      <c r="T138" s="162"/>
    </row>
    <row r="139" spans="1:20" ht="42" customHeight="1">
      <c r="B139" s="36" t="s">
        <v>387</v>
      </c>
      <c r="C139" s="36" t="s">
        <v>14</v>
      </c>
      <c r="D139" s="36" t="s">
        <v>334</v>
      </c>
      <c r="E139" s="36" t="s">
        <v>427</v>
      </c>
      <c r="F139" s="36" t="s">
        <v>428</v>
      </c>
      <c r="G139" s="36" t="s">
        <v>429</v>
      </c>
      <c r="H139" s="36" t="s">
        <v>430</v>
      </c>
      <c r="I139" s="36" t="s">
        <v>431</v>
      </c>
      <c r="J139" s="36" t="s">
        <v>432</v>
      </c>
      <c r="K139" s="36" t="s">
        <v>433</v>
      </c>
      <c r="L139" s="36" t="s">
        <v>434</v>
      </c>
      <c r="M139" s="36" t="s">
        <v>435</v>
      </c>
      <c r="N139" s="36" t="s">
        <v>436</v>
      </c>
      <c r="O139" s="36"/>
      <c r="P139" s="36"/>
      <c r="Q139" s="36" t="s">
        <v>437</v>
      </c>
      <c r="R139" s="36"/>
      <c r="S139" s="36"/>
      <c r="T139" s="79"/>
    </row>
    <row r="140" spans="1:20" ht="16" customHeight="1">
      <c r="B140" s="47" t="s">
        <v>405</v>
      </c>
      <c r="C140" s="47" t="str">
        <f t="shared" ref="C140:D150" si="80">B48</f>
        <v>Oil &amp; Gas</v>
      </c>
      <c r="D140" s="48">
        <f t="shared" si="80"/>
        <v>0.20370355829552153</v>
      </c>
      <c r="E140" s="63">
        <f>100</f>
        <v>100</v>
      </c>
      <c r="F140" s="60">
        <f t="shared" ref="F140:F172" si="81">E140-(E140-G140)*IFERROR((1-EXP(-L104*2))/(1-EXP(-L104*6)),2/6)</f>
        <v>93.973070641406125</v>
      </c>
      <c r="G140" s="60">
        <f t="shared" ref="G140:G150" si="82">MIN(100,MAX(I140,100*(1-$C$62*(1-$E48))))</f>
        <v>83.918865139411281</v>
      </c>
      <c r="H140" s="60">
        <f t="shared" ref="H140:H172" si="83">G140-(G140-I140)*IFERROR((1-EXP(-N104*10))/(1-EXP(-N104*20)),10/20)</f>
        <v>83.306903594712423</v>
      </c>
      <c r="I140" s="60">
        <f t="shared" ref="I140:I172" si="84">M68</f>
        <v>82.764493075676896</v>
      </c>
      <c r="J140" s="52">
        <f t="shared" ref="J140:J172" si="85">D140*E140</f>
        <v>20.370355829552153</v>
      </c>
      <c r="K140" s="52">
        <f t="shared" ref="K140:K172" si="86">D140*F140</f>
        <v>19.142648873610835</v>
      </c>
      <c r="L140" s="52">
        <f t="shared" ref="L140:L172" si="87">D140*G140</f>
        <v>17.094571437020075</v>
      </c>
      <c r="M140" s="52">
        <f t="shared" ref="M140:M172" si="88">D140*H140</f>
        <v>16.969912692824895</v>
      </c>
      <c r="N140" s="52">
        <f t="shared" ref="N140:N172" si="89">D140*I140</f>
        <v>16.859421740040435</v>
      </c>
      <c r="O140" s="171"/>
      <c r="P140" s="168"/>
      <c r="Q140" s="168"/>
      <c r="R140" s="168"/>
      <c r="S140" s="168"/>
    </row>
    <row r="141" spans="1:20" ht="16" customHeight="1">
      <c r="B141" s="47" t="s">
        <v>405</v>
      </c>
      <c r="C141" s="47" t="str">
        <f t="shared" si="80"/>
        <v>Cement</v>
      </c>
      <c r="D141" s="48">
        <f t="shared" si="80"/>
        <v>9.6295956467700491E-2</v>
      </c>
      <c r="E141" s="63">
        <f>100</f>
        <v>100</v>
      </c>
      <c r="F141" s="60">
        <f t="shared" si="81"/>
        <v>94.419460927485645</v>
      </c>
      <c r="G141" s="60">
        <f t="shared" si="82"/>
        <v>85.59398335405595</v>
      </c>
      <c r="H141" s="60">
        <f t="shared" si="83"/>
        <v>80.441637686479993</v>
      </c>
      <c r="I141" s="60">
        <f t="shared" si="84"/>
        <v>76.04276973996005</v>
      </c>
      <c r="J141" s="52">
        <f t="shared" si="85"/>
        <v>9.6295956467700492</v>
      </c>
      <c r="K141" s="52">
        <f t="shared" si="86"/>
        <v>9.0922122991769054</v>
      </c>
      <c r="L141" s="52">
        <f t="shared" si="87"/>
        <v>8.2423544949592529</v>
      </c>
      <c r="M141" s="52">
        <f t="shared" si="88"/>
        <v>7.746204440847813</v>
      </c>
      <c r="N141" s="52">
        <f t="shared" si="89"/>
        <v>7.3226112445625651</v>
      </c>
      <c r="O141" s="171"/>
      <c r="P141" s="168"/>
      <c r="Q141" s="168"/>
      <c r="R141" s="168"/>
      <c r="S141" s="168"/>
    </row>
    <row r="142" spans="1:20" ht="16" customHeight="1">
      <c r="B142" s="47" t="s">
        <v>405</v>
      </c>
      <c r="C142" s="47" t="str">
        <f t="shared" si="80"/>
        <v>Steel</v>
      </c>
      <c r="D142" s="48">
        <f t="shared" si="80"/>
        <v>0.12222220745907365</v>
      </c>
      <c r="E142" s="63">
        <f>100</f>
        <v>100</v>
      </c>
      <c r="F142" s="60">
        <f t="shared" si="81"/>
        <v>94.871991432571775</v>
      </c>
      <c r="G142" s="60">
        <f t="shared" si="82"/>
        <v>86.692481355380664</v>
      </c>
      <c r="H142" s="60">
        <f t="shared" si="83"/>
        <v>75.356126154485267</v>
      </c>
      <c r="I142" s="60">
        <f t="shared" si="84"/>
        <v>65.672667930604135</v>
      </c>
      <c r="J142" s="52">
        <f t="shared" si="85"/>
        <v>12.222220745907366</v>
      </c>
      <c r="K142" s="52">
        <f t="shared" si="86"/>
        <v>11.595464218927246</v>
      </c>
      <c r="L142" s="52">
        <f t="shared" si="87"/>
        <v>10.595746441359211</v>
      </c>
      <c r="M142" s="52">
        <f t="shared" si="88"/>
        <v>9.2101920841656248</v>
      </c>
      <c r="N142" s="52">
        <f t="shared" si="89"/>
        <v>8.0266584442051521</v>
      </c>
      <c r="O142" s="171"/>
      <c r="P142" s="168"/>
      <c r="Q142" s="168"/>
      <c r="R142" s="168"/>
      <c r="S142" s="168"/>
    </row>
    <row r="143" spans="1:20" ht="16" customHeight="1">
      <c r="B143" s="47" t="s">
        <v>405</v>
      </c>
      <c r="C143" s="47" t="str">
        <f t="shared" si="80"/>
        <v>Aviation</v>
      </c>
      <c r="D143" s="48">
        <f t="shared" si="80"/>
        <v>7.7777957837227088E-2</v>
      </c>
      <c r="E143" s="63">
        <f>100</f>
        <v>100</v>
      </c>
      <c r="F143" s="60">
        <f t="shared" si="81"/>
        <v>95.145620677930253</v>
      </c>
      <c r="G143" s="60">
        <f t="shared" si="82"/>
        <v>87.540742360264602</v>
      </c>
      <c r="H143" s="60">
        <f t="shared" si="83"/>
        <v>73.738256071560059</v>
      </c>
      <c r="I143" s="60">
        <f t="shared" si="84"/>
        <v>62.050395016885354</v>
      </c>
      <c r="J143" s="52">
        <f t="shared" si="85"/>
        <v>7.7777957837227092</v>
      </c>
      <c r="K143" s="52">
        <f t="shared" si="86"/>
        <v>7.4002320734848608</v>
      </c>
      <c r="L143" s="52">
        <f t="shared" si="87"/>
        <v>6.8087401683362199</v>
      </c>
      <c r="M143" s="52">
        <f t="shared" si="88"/>
        <v>5.7352109717244524</v>
      </c>
      <c r="N143" s="52">
        <f t="shared" si="89"/>
        <v>4.826153007406595</v>
      </c>
      <c r="O143" s="171"/>
      <c r="P143" s="168"/>
      <c r="Q143" s="168"/>
      <c r="R143" s="168"/>
      <c r="S143" s="168"/>
    </row>
    <row r="144" spans="1:20" ht="16" customHeight="1">
      <c r="B144" s="47" t="s">
        <v>405</v>
      </c>
      <c r="C144" s="47" t="str">
        <f t="shared" si="80"/>
        <v>Power &amp; Utilities</v>
      </c>
      <c r="D144" s="48">
        <f t="shared" si="80"/>
        <v>0.17530933937250623</v>
      </c>
      <c r="E144" s="63">
        <f>100</f>
        <v>100</v>
      </c>
      <c r="F144" s="60">
        <f t="shared" si="81"/>
        <v>96.187860422894886</v>
      </c>
      <c r="G144" s="60">
        <f t="shared" si="82"/>
        <v>91.596490289865969</v>
      </c>
      <c r="H144" s="60">
        <f t="shared" si="83"/>
        <v>68.226796178945492</v>
      </c>
      <c r="I144" s="60">
        <f t="shared" si="84"/>
        <v>51.075506680996206</v>
      </c>
      <c r="J144" s="52">
        <f t="shared" si="85"/>
        <v>17.530933937250623</v>
      </c>
      <c r="K144" s="52">
        <f t="shared" si="86"/>
        <v>16.862630266392539</v>
      </c>
      <c r="L144" s="52">
        <f t="shared" si="87"/>
        <v>16.057720201556585</v>
      </c>
      <c r="M144" s="52">
        <f t="shared" si="88"/>
        <v>11.960794565633567</v>
      </c>
      <c r="N144" s="52">
        <f t="shared" si="89"/>
        <v>8.9540133343614734</v>
      </c>
      <c r="O144" s="171"/>
      <c r="P144" s="168"/>
      <c r="Q144" s="168"/>
      <c r="R144" s="168"/>
      <c r="S144" s="168"/>
    </row>
    <row r="145" spans="2:19" ht="16" customHeight="1">
      <c r="B145" s="47" t="s">
        <v>405</v>
      </c>
      <c r="C145" s="47" t="str">
        <f t="shared" si="80"/>
        <v>Chemicals</v>
      </c>
      <c r="D145" s="48">
        <f t="shared" si="80"/>
        <v>9.629582965669764E-2</v>
      </c>
      <c r="E145" s="63">
        <f>100</f>
        <v>100</v>
      </c>
      <c r="F145" s="60">
        <f t="shared" si="81"/>
        <v>96.953137013177923</v>
      </c>
      <c r="G145" s="60">
        <f t="shared" si="82"/>
        <v>93.072516585556954</v>
      </c>
      <c r="H145" s="60">
        <f t="shared" si="83"/>
        <v>61.61348895864414</v>
      </c>
      <c r="I145" s="60">
        <f t="shared" si="84"/>
        <v>37.951288202416634</v>
      </c>
      <c r="J145" s="52">
        <f t="shared" si="85"/>
        <v>9.6295829656697638</v>
      </c>
      <c r="K145" s="52">
        <f t="shared" si="86"/>
        <v>9.3361827665034482</v>
      </c>
      <c r="L145" s="52">
        <f t="shared" si="87"/>
        <v>8.962495202842959</v>
      </c>
      <c r="M145" s="52">
        <f t="shared" si="88"/>
        <v>5.9331220373164166</v>
      </c>
      <c r="N145" s="52">
        <f t="shared" si="89"/>
        <v>3.6545507839921512</v>
      </c>
      <c r="O145" s="171"/>
      <c r="P145" s="168"/>
      <c r="Q145" s="168"/>
      <c r="R145" s="168"/>
      <c r="S145" s="168"/>
    </row>
    <row r="146" spans="2:19" ht="16" customHeight="1">
      <c r="B146" s="47" t="s">
        <v>405</v>
      </c>
      <c r="C146" s="47" t="str">
        <f t="shared" si="80"/>
        <v>Shipping</v>
      </c>
      <c r="D146" s="48">
        <f t="shared" si="80"/>
        <v>6.4197520227738933E-2</v>
      </c>
      <c r="E146" s="63">
        <f>100</f>
        <v>100</v>
      </c>
      <c r="F146" s="60">
        <f t="shared" si="81"/>
        <v>97.647484679939254</v>
      </c>
      <c r="G146" s="60">
        <f t="shared" si="82"/>
        <v>94.701235256664262</v>
      </c>
      <c r="H146" s="60">
        <f t="shared" si="83"/>
        <v>56.447139543042056</v>
      </c>
      <c r="I146" s="60">
        <f t="shared" si="84"/>
        <v>27.96535579974466</v>
      </c>
      <c r="J146" s="52">
        <f t="shared" si="85"/>
        <v>6.4197520227738929</v>
      </c>
      <c r="K146" s="52">
        <f t="shared" si="86"/>
        <v>6.2687263729282279</v>
      </c>
      <c r="L146" s="52">
        <f t="shared" si="87"/>
        <v>6.0795844659815677</v>
      </c>
      <c r="M146" s="52">
        <f t="shared" si="88"/>
        <v>3.6237663826124447</v>
      </c>
      <c r="N146" s="52">
        <f t="shared" si="89"/>
        <v>1.7953064946300241</v>
      </c>
      <c r="O146" s="171"/>
      <c r="P146" s="168"/>
      <c r="Q146" s="168"/>
      <c r="R146" s="168"/>
      <c r="S146" s="168"/>
    </row>
    <row r="147" spans="2:19" ht="16" customHeight="1">
      <c r="B147" s="47" t="s">
        <v>405</v>
      </c>
      <c r="C147" s="47" t="str">
        <f t="shared" si="80"/>
        <v>Automotive</v>
      </c>
      <c r="D147" s="48">
        <f t="shared" si="80"/>
        <v>5.6790221257228386E-2</v>
      </c>
      <c r="E147" s="63">
        <f>100</f>
        <v>100</v>
      </c>
      <c r="F147" s="60">
        <f t="shared" si="81"/>
        <v>98.709810167747165</v>
      </c>
      <c r="G147" s="60">
        <f t="shared" si="82"/>
        <v>97.154367082282661</v>
      </c>
      <c r="H147" s="60">
        <f t="shared" si="83"/>
        <v>53.407948324453642</v>
      </c>
      <c r="I147" s="60">
        <f t="shared" si="84"/>
        <v>21.698379464632001</v>
      </c>
      <c r="J147" s="52">
        <f t="shared" si="85"/>
        <v>5.679022125722839</v>
      </c>
      <c r="K147" s="52">
        <f t="shared" si="86"/>
        <v>5.6057519596853735</v>
      </c>
      <c r="L147" s="52">
        <f t="shared" si="87"/>
        <v>5.5174180027088182</v>
      </c>
      <c r="M147" s="52">
        <f t="shared" si="88"/>
        <v>3.0330492022403424</v>
      </c>
      <c r="N147" s="52">
        <f t="shared" si="89"/>
        <v>1.2322557707197521</v>
      </c>
      <c r="O147" s="171"/>
      <c r="P147" s="168"/>
      <c r="Q147" s="168"/>
      <c r="R147" s="168"/>
      <c r="S147" s="168"/>
    </row>
    <row r="148" spans="2:19" ht="16" customHeight="1">
      <c r="B148" s="47" t="s">
        <v>405</v>
      </c>
      <c r="C148" s="47" t="str">
        <f t="shared" si="80"/>
        <v>Agriculture &amp; Food</v>
      </c>
      <c r="D148" s="48">
        <f t="shared" si="80"/>
        <v>5.4321014526120003E-2</v>
      </c>
      <c r="E148" s="63">
        <f>100</f>
        <v>100</v>
      </c>
      <c r="F148" s="60">
        <f t="shared" si="81"/>
        <v>99.179143215033392</v>
      </c>
      <c r="G148" s="60">
        <f t="shared" si="82"/>
        <v>98.170664552895985</v>
      </c>
      <c r="H148" s="60">
        <f t="shared" si="83"/>
        <v>55.492963227964928</v>
      </c>
      <c r="I148" s="60">
        <f t="shared" si="84"/>
        <v>24.110001808606196</v>
      </c>
      <c r="J148" s="52">
        <f t="shared" si="85"/>
        <v>5.4321014526120006</v>
      </c>
      <c r="K148" s="52">
        <f t="shared" si="86"/>
        <v>5.3875116792719648</v>
      </c>
      <c r="L148" s="52">
        <f t="shared" si="87"/>
        <v>5.3327300952167169</v>
      </c>
      <c r="M148" s="52">
        <f t="shared" si="88"/>
        <v>3.0144340616037262</v>
      </c>
      <c r="N148" s="52">
        <f t="shared" si="89"/>
        <v>1.3096797584700768</v>
      </c>
      <c r="O148" s="171"/>
      <c r="P148" s="168"/>
      <c r="Q148" s="168"/>
      <c r="R148" s="168"/>
      <c r="S148" s="168"/>
    </row>
    <row r="149" spans="2:19" ht="16" customHeight="1">
      <c r="B149" s="47" t="s">
        <v>405</v>
      </c>
      <c r="C149" s="47" t="str">
        <f t="shared" si="80"/>
        <v>Real Estate</v>
      </c>
      <c r="D149" s="48">
        <f t="shared" si="80"/>
        <v>3.7037032793710359E-2</v>
      </c>
      <c r="E149" s="63">
        <f>100</f>
        <v>100</v>
      </c>
      <c r="F149" s="60">
        <f t="shared" si="81"/>
        <v>100</v>
      </c>
      <c r="G149" s="60">
        <f t="shared" si="82"/>
        <v>100</v>
      </c>
      <c r="H149" s="60">
        <f t="shared" si="83"/>
        <v>52.186341152077809</v>
      </c>
      <c r="I149" s="60">
        <f t="shared" si="84"/>
        <v>19.201707396563194</v>
      </c>
      <c r="J149" s="52">
        <f t="shared" si="85"/>
        <v>3.7037032793710361</v>
      </c>
      <c r="K149" s="52">
        <f t="shared" si="86"/>
        <v>3.7037032793710361</v>
      </c>
      <c r="L149" s="52">
        <f t="shared" si="87"/>
        <v>3.7037032793710361</v>
      </c>
      <c r="M149" s="52">
        <f t="shared" si="88"/>
        <v>1.9328272286332622</v>
      </c>
      <c r="N149" s="52">
        <f t="shared" si="89"/>
        <v>0.71117426654174176</v>
      </c>
      <c r="O149" s="171"/>
      <c r="P149" s="168"/>
      <c r="Q149" s="168"/>
      <c r="R149" s="168"/>
      <c r="S149" s="168"/>
    </row>
    <row r="150" spans="2:19" ht="16" customHeight="1">
      <c r="B150" s="47" t="s">
        <v>405</v>
      </c>
      <c r="C150" s="47" t="str">
        <f t="shared" si="80"/>
        <v>Retail &amp; Services</v>
      </c>
      <c r="D150" s="48">
        <f t="shared" si="80"/>
        <v>1.6049362106475677E-2</v>
      </c>
      <c r="E150" s="63">
        <f>100</f>
        <v>100</v>
      </c>
      <c r="F150" s="60">
        <f t="shared" si="81"/>
        <v>100</v>
      </c>
      <c r="G150" s="60">
        <f t="shared" si="82"/>
        <v>100</v>
      </c>
      <c r="H150" s="60">
        <f t="shared" si="83"/>
        <v>52.368831036489794</v>
      </c>
      <c r="I150" s="60">
        <f t="shared" si="84"/>
        <v>19.201707396563194</v>
      </c>
      <c r="J150" s="52">
        <f t="shared" si="85"/>
        <v>1.6049362106475678</v>
      </c>
      <c r="K150" s="52">
        <f t="shared" si="86"/>
        <v>1.6049362106475678</v>
      </c>
      <c r="L150" s="52">
        <f t="shared" si="87"/>
        <v>1.6049362106475678</v>
      </c>
      <c r="M150" s="52">
        <f t="shared" si="88"/>
        <v>0.84048633239746662</v>
      </c>
      <c r="N150" s="52">
        <f t="shared" si="89"/>
        <v>0.30817515507003501</v>
      </c>
      <c r="O150" s="171"/>
      <c r="P150" s="168"/>
      <c r="Q150" s="168"/>
      <c r="R150" s="168"/>
      <c r="S150" s="168"/>
    </row>
    <row r="151" spans="2:19" ht="16" customHeight="1">
      <c r="B151" s="47" t="s">
        <v>407</v>
      </c>
      <c r="C151" s="47" t="str">
        <f t="shared" ref="C151:D161" si="90">B48</f>
        <v>Oil &amp; Gas</v>
      </c>
      <c r="D151" s="48">
        <f t="shared" si="90"/>
        <v>0.20370355829552153</v>
      </c>
      <c r="E151" s="63">
        <f>100</f>
        <v>100</v>
      </c>
      <c r="F151" s="60">
        <f t="shared" si="81"/>
        <v>79.30878470621245</v>
      </c>
      <c r="G151" s="60">
        <f t="shared" ref="G151:G161" si="91">MIN(100,MAX(I151,100*(1-$C$63*(1-$E48))))</f>
        <v>46.932254960057207</v>
      </c>
      <c r="H151" s="60">
        <f t="shared" si="83"/>
        <v>36.173782654492015</v>
      </c>
      <c r="I151" s="60">
        <f t="shared" si="84"/>
        <v>27.086561370221531</v>
      </c>
      <c r="J151" s="52">
        <f t="shared" si="85"/>
        <v>20.370355829552153</v>
      </c>
      <c r="K151" s="52">
        <f t="shared" si="86"/>
        <v>16.155481648748914</v>
      </c>
      <c r="L151" s="52">
        <f t="shared" si="87"/>
        <v>9.5602673341962934</v>
      </c>
      <c r="M151" s="52">
        <f t="shared" si="88"/>
        <v>7.3687282437288397</v>
      </c>
      <c r="N151" s="52">
        <f t="shared" si="89"/>
        <v>5.5176289331041435</v>
      </c>
      <c r="O151" s="171"/>
      <c r="P151" s="168"/>
      <c r="Q151" s="168"/>
      <c r="R151" s="168"/>
      <c r="S151" s="168"/>
    </row>
    <row r="152" spans="2:19" ht="16" customHeight="1">
      <c r="B152" s="47" t="s">
        <v>407</v>
      </c>
      <c r="C152" s="47" t="str">
        <f t="shared" si="90"/>
        <v>Cement</v>
      </c>
      <c r="D152" s="48">
        <f t="shared" si="90"/>
        <v>9.6295956467700491E-2</v>
      </c>
      <c r="E152" s="63">
        <f>100</f>
        <v>100</v>
      </c>
      <c r="F152" s="60">
        <f t="shared" si="81"/>
        <v>80.644976552459497</v>
      </c>
      <c r="G152" s="60">
        <f t="shared" si="91"/>
        <v>52.460145068384591</v>
      </c>
      <c r="H152" s="60">
        <f t="shared" si="83"/>
        <v>37.154530024437136</v>
      </c>
      <c r="I152" s="60">
        <f t="shared" si="84"/>
        <v>24.886724642168744</v>
      </c>
      <c r="J152" s="52">
        <f t="shared" si="85"/>
        <v>9.6295956467700492</v>
      </c>
      <c r="K152" s="52">
        <f t="shared" si="86"/>
        <v>7.7657851514343665</v>
      </c>
      <c r="L152" s="52">
        <f t="shared" si="87"/>
        <v>5.0516998457944151</v>
      </c>
      <c r="M152" s="52">
        <f t="shared" si="88"/>
        <v>3.5778310058110692</v>
      </c>
      <c r="N152" s="52">
        <f t="shared" si="89"/>
        <v>2.3964909527659306</v>
      </c>
      <c r="O152" s="171"/>
      <c r="P152" s="168"/>
      <c r="Q152" s="168"/>
      <c r="R152" s="168"/>
      <c r="S152" s="168"/>
    </row>
    <row r="153" spans="2:19" ht="16" customHeight="1">
      <c r="B153" s="47" t="s">
        <v>407</v>
      </c>
      <c r="C153" s="47" t="str">
        <f t="shared" si="90"/>
        <v>Steel</v>
      </c>
      <c r="D153" s="48">
        <f t="shared" si="90"/>
        <v>0.12222220745907365</v>
      </c>
      <c r="E153" s="63">
        <f>100</f>
        <v>100</v>
      </c>
      <c r="F153" s="60">
        <f t="shared" si="81"/>
        <v>82.242734166027034</v>
      </c>
      <c r="G153" s="60">
        <f t="shared" si="91"/>
        <v>56.085188472756165</v>
      </c>
      <c r="H153" s="60">
        <f t="shared" si="83"/>
        <v>36.889570822696776</v>
      </c>
      <c r="I153" s="60">
        <f t="shared" si="84"/>
        <v>21.492873140924992</v>
      </c>
      <c r="J153" s="52">
        <f t="shared" si="85"/>
        <v>12.222220745907366</v>
      </c>
      <c r="K153" s="52">
        <f t="shared" si="86"/>
        <v>10.051888517241601</v>
      </c>
      <c r="L153" s="52">
        <f t="shared" si="87"/>
        <v>6.8548555408984502</v>
      </c>
      <c r="M153" s="52">
        <f t="shared" si="88"/>
        <v>4.5087247781678359</v>
      </c>
      <c r="N153" s="52">
        <f t="shared" si="89"/>
        <v>2.6269063999216864</v>
      </c>
      <c r="O153" s="171"/>
      <c r="P153" s="168"/>
      <c r="Q153" s="168"/>
      <c r="R153" s="168"/>
      <c r="S153" s="168"/>
    </row>
    <row r="154" spans="2:19" ht="16" customHeight="1">
      <c r="B154" s="47" t="s">
        <v>407</v>
      </c>
      <c r="C154" s="47" t="str">
        <f t="shared" si="90"/>
        <v>Aviation</v>
      </c>
      <c r="D154" s="48">
        <f t="shared" si="90"/>
        <v>7.7777957837227088E-2</v>
      </c>
      <c r="E154" s="63">
        <f>100</f>
        <v>100</v>
      </c>
      <c r="F154" s="60">
        <f t="shared" si="81"/>
        <v>83.134286649182116</v>
      </c>
      <c r="G154" s="60">
        <f t="shared" si="91"/>
        <v>58.884449788873198</v>
      </c>
      <c r="H154" s="60">
        <f t="shared" si="83"/>
        <v>37.361719056760457</v>
      </c>
      <c r="I154" s="60">
        <f t="shared" si="84"/>
        <v>20.307402005526114</v>
      </c>
      <c r="J154" s="52">
        <f t="shared" si="85"/>
        <v>7.7777957837227092</v>
      </c>
      <c r="K154" s="52">
        <f t="shared" si="86"/>
        <v>6.4660150418280375</v>
      </c>
      <c r="L154" s="52">
        <f t="shared" si="87"/>
        <v>4.5799122529472953</v>
      </c>
      <c r="M154" s="52">
        <f t="shared" si="88"/>
        <v>2.9059182095230387</v>
      </c>
      <c r="N154" s="52">
        <f t="shared" si="89"/>
        <v>1.5794682569694309</v>
      </c>
      <c r="O154" s="171"/>
      <c r="P154" s="168"/>
      <c r="Q154" s="168"/>
      <c r="R154" s="168"/>
      <c r="S154" s="168"/>
    </row>
    <row r="155" spans="2:19" ht="16" customHeight="1">
      <c r="B155" s="47" t="s">
        <v>407</v>
      </c>
      <c r="C155" s="47" t="str">
        <f t="shared" si="90"/>
        <v>Power &amp; Utilities</v>
      </c>
      <c r="D155" s="48">
        <f t="shared" si="90"/>
        <v>0.17530933937250623</v>
      </c>
      <c r="E155" s="63">
        <f>100</f>
        <v>100</v>
      </c>
      <c r="F155" s="60">
        <f t="shared" si="81"/>
        <v>86.214993645173806</v>
      </c>
      <c r="G155" s="60">
        <f t="shared" si="91"/>
        <v>72.268417956557698</v>
      </c>
      <c r="H155" s="60">
        <f t="shared" si="83"/>
        <v>38.571888576674546</v>
      </c>
      <c r="I155" s="60">
        <f t="shared" si="84"/>
        <v>16.715620368326029</v>
      </c>
      <c r="J155" s="52">
        <f t="shared" si="85"/>
        <v>17.530933937250623</v>
      </c>
      <c r="K155" s="52">
        <f t="shared" si="86"/>
        <v>15.114293579940243</v>
      </c>
      <c r="L155" s="52">
        <f t="shared" si="87"/>
        <v>12.669328609460297</v>
      </c>
      <c r="M155" s="52">
        <f t="shared" si="88"/>
        <v>6.762012304726734</v>
      </c>
      <c r="N155" s="52">
        <f t="shared" si="89"/>
        <v>2.9304043639728454</v>
      </c>
      <c r="O155" s="171" t="s">
        <v>438</v>
      </c>
      <c r="P155" s="168"/>
      <c r="Q155" s="168"/>
      <c r="R155" s="168"/>
      <c r="S155" s="168"/>
    </row>
    <row r="156" spans="2:19" ht="16" customHeight="1">
      <c r="B156" s="47" t="s">
        <v>407</v>
      </c>
      <c r="C156" s="47" t="str">
        <f t="shared" si="90"/>
        <v>Chemicals</v>
      </c>
      <c r="D156" s="48">
        <f t="shared" si="90"/>
        <v>9.629582965669764E-2</v>
      </c>
      <c r="E156" s="63">
        <f>100</f>
        <v>100</v>
      </c>
      <c r="F156" s="60">
        <f t="shared" si="81"/>
        <v>89.061088783580587</v>
      </c>
      <c r="G156" s="60">
        <f t="shared" si="91"/>
        <v>77.139304732337948</v>
      </c>
      <c r="H156" s="60">
        <f t="shared" si="83"/>
        <v>38.415612565721503</v>
      </c>
      <c r="I156" s="60">
        <f t="shared" si="84"/>
        <v>12.420421593518171</v>
      </c>
      <c r="J156" s="52">
        <f t="shared" si="85"/>
        <v>9.6295829656697638</v>
      </c>
      <c r="K156" s="52">
        <f t="shared" si="86"/>
        <v>8.5762114345437013</v>
      </c>
      <c r="L156" s="52">
        <f t="shared" si="87"/>
        <v>7.4281933483413054</v>
      </c>
      <c r="M156" s="52">
        <f t="shared" si="88"/>
        <v>3.699263283786411</v>
      </c>
      <c r="N156" s="52">
        <f t="shared" si="89"/>
        <v>1.1960348020337948</v>
      </c>
      <c r="O156" s="171"/>
      <c r="P156" s="168"/>
      <c r="Q156" s="168"/>
      <c r="R156" s="168"/>
      <c r="S156" s="168"/>
    </row>
    <row r="157" spans="2:19" ht="16" customHeight="1">
      <c r="B157" s="47" t="s">
        <v>407</v>
      </c>
      <c r="C157" s="47" t="str">
        <f t="shared" si="90"/>
        <v>Shipping</v>
      </c>
      <c r="D157" s="48">
        <f t="shared" si="90"/>
        <v>6.4197520227738933E-2</v>
      </c>
      <c r="E157" s="63">
        <f>100</f>
        <v>100</v>
      </c>
      <c r="F157" s="60">
        <f t="shared" si="81"/>
        <v>91.535047255136689</v>
      </c>
      <c r="G157" s="60">
        <f t="shared" si="91"/>
        <v>82.514076346992056</v>
      </c>
      <c r="H157" s="60">
        <f t="shared" si="83"/>
        <v>38.368249168077341</v>
      </c>
      <c r="I157" s="60">
        <f t="shared" si="84"/>
        <v>9.1522982617346145</v>
      </c>
      <c r="J157" s="52">
        <f t="shared" si="85"/>
        <v>6.4197520227738929</v>
      </c>
      <c r="K157" s="52">
        <f t="shared" si="86"/>
        <v>5.8763230477086763</v>
      </c>
      <c r="L157" s="52">
        <f t="shared" si="87"/>
        <v>5.2971990853592175</v>
      </c>
      <c r="M157" s="52">
        <f t="shared" si="88"/>
        <v>2.4631464520705726</v>
      </c>
      <c r="N157" s="52">
        <f t="shared" si="89"/>
        <v>0.58755485278800779</v>
      </c>
      <c r="O157" s="171"/>
      <c r="P157" s="168"/>
      <c r="Q157" s="168"/>
      <c r="R157" s="168"/>
      <c r="S157" s="168"/>
    </row>
    <row r="158" spans="2:19" ht="16" customHeight="1">
      <c r="B158" s="47" t="s">
        <v>407</v>
      </c>
      <c r="C158" s="47" t="str">
        <f t="shared" si="90"/>
        <v>Automotive</v>
      </c>
      <c r="D158" s="48">
        <f t="shared" si="90"/>
        <v>5.6790221257228386E-2</v>
      </c>
      <c r="E158" s="63">
        <f>100</f>
        <v>100</v>
      </c>
      <c r="F158" s="60">
        <f t="shared" si="81"/>
        <v>95.335129534566008</v>
      </c>
      <c r="G158" s="60">
        <f t="shared" si="91"/>
        <v>90.609411371532758</v>
      </c>
      <c r="H158" s="60">
        <f t="shared" si="83"/>
        <v>39.610253698226728</v>
      </c>
      <c r="I158" s="60">
        <f t="shared" si="84"/>
        <v>7.1012878247886553</v>
      </c>
      <c r="J158" s="52">
        <f t="shared" si="85"/>
        <v>5.679022125722839</v>
      </c>
      <c r="K158" s="52">
        <f t="shared" si="86"/>
        <v>5.4141030998545325</v>
      </c>
      <c r="L158" s="52">
        <f t="shared" si="87"/>
        <v>5.1457285197765712</v>
      </c>
      <c r="M158" s="52">
        <f t="shared" si="88"/>
        <v>2.2494750715772449</v>
      </c>
      <c r="N158" s="52">
        <f t="shared" si="89"/>
        <v>0.40328370678100983</v>
      </c>
      <c r="O158" s="171"/>
      <c r="P158" s="168"/>
      <c r="Q158" s="168"/>
      <c r="R158" s="168"/>
      <c r="S158" s="168"/>
    </row>
    <row r="159" spans="2:19" ht="16" customHeight="1">
      <c r="B159" s="47" t="s">
        <v>407</v>
      </c>
      <c r="C159" s="47" t="str">
        <f t="shared" si="90"/>
        <v>Agriculture &amp; Food</v>
      </c>
      <c r="D159" s="48">
        <f t="shared" si="90"/>
        <v>5.4321014526120003E-2</v>
      </c>
      <c r="E159" s="63">
        <f>100</f>
        <v>100</v>
      </c>
      <c r="F159" s="60">
        <f t="shared" si="81"/>
        <v>97.039037924202916</v>
      </c>
      <c r="G159" s="60">
        <f t="shared" si="91"/>
        <v>93.963193024556759</v>
      </c>
      <c r="H159" s="60">
        <f t="shared" si="83"/>
        <v>41.810527114550084</v>
      </c>
      <c r="I159" s="60">
        <f t="shared" si="84"/>
        <v>7.8905460464529362</v>
      </c>
      <c r="J159" s="52">
        <f t="shared" si="85"/>
        <v>5.4321014526120006</v>
      </c>
      <c r="K159" s="52">
        <f t="shared" si="86"/>
        <v>5.2712589886813364</v>
      </c>
      <c r="L159" s="52">
        <f t="shared" si="87"/>
        <v>5.1041759732075658</v>
      </c>
      <c r="M159" s="52">
        <f t="shared" si="88"/>
        <v>2.2711902507342092</v>
      </c>
      <c r="N159" s="52">
        <f t="shared" si="89"/>
        <v>0.42862246640838869</v>
      </c>
      <c r="O159" s="171"/>
      <c r="P159" s="168"/>
      <c r="Q159" s="168"/>
      <c r="R159" s="168"/>
      <c r="S159" s="168"/>
    </row>
    <row r="160" spans="2:19" ht="16" customHeight="1">
      <c r="B160" s="47" t="s">
        <v>407</v>
      </c>
      <c r="C160" s="47" t="str">
        <f t="shared" si="90"/>
        <v>Real Estate</v>
      </c>
      <c r="D160" s="48">
        <f t="shared" si="90"/>
        <v>3.7037032793710359E-2</v>
      </c>
      <c r="E160" s="63">
        <f>100</f>
        <v>100</v>
      </c>
      <c r="F160" s="60">
        <f t="shared" si="81"/>
        <v>100</v>
      </c>
      <c r="G160" s="60">
        <f t="shared" si="91"/>
        <v>100</v>
      </c>
      <c r="H160" s="60">
        <f t="shared" si="83"/>
        <v>41.236647059490174</v>
      </c>
      <c r="I160" s="60">
        <f t="shared" si="84"/>
        <v>6.2841951479661358</v>
      </c>
      <c r="J160" s="52">
        <f t="shared" si="85"/>
        <v>3.7037032793710361</v>
      </c>
      <c r="K160" s="52">
        <f t="shared" si="86"/>
        <v>3.7037032793710361</v>
      </c>
      <c r="L160" s="52">
        <f t="shared" si="87"/>
        <v>3.7037032793710361</v>
      </c>
      <c r="M160" s="52">
        <f t="shared" si="88"/>
        <v>1.5272830494449974</v>
      </c>
      <c r="N160" s="52">
        <f t="shared" si="89"/>
        <v>0.2327479417772973</v>
      </c>
      <c r="O160" s="171"/>
      <c r="P160" s="168"/>
      <c r="Q160" s="168"/>
      <c r="R160" s="168"/>
      <c r="S160" s="168"/>
    </row>
    <row r="161" spans="1:19" ht="16" customHeight="1">
      <c r="B161" s="47" t="s">
        <v>407</v>
      </c>
      <c r="C161" s="47" t="str">
        <f t="shared" si="90"/>
        <v>Retail &amp; Services</v>
      </c>
      <c r="D161" s="48">
        <f t="shared" si="90"/>
        <v>1.6049362106475677E-2</v>
      </c>
      <c r="E161" s="63">
        <f>100</f>
        <v>100</v>
      </c>
      <c r="F161" s="60">
        <f t="shared" si="81"/>
        <v>100</v>
      </c>
      <c r="G161" s="60">
        <f t="shared" si="91"/>
        <v>100</v>
      </c>
      <c r="H161" s="60">
        <f t="shared" si="83"/>
        <v>41.523603617875573</v>
      </c>
      <c r="I161" s="60">
        <f t="shared" si="84"/>
        <v>6.2841951479661358</v>
      </c>
      <c r="J161" s="52">
        <f t="shared" si="85"/>
        <v>1.6049362106475678</v>
      </c>
      <c r="K161" s="52">
        <f t="shared" si="86"/>
        <v>1.6049362106475678</v>
      </c>
      <c r="L161" s="52">
        <f t="shared" si="87"/>
        <v>1.6049362106475678</v>
      </c>
      <c r="M161" s="52">
        <f t="shared" si="88"/>
        <v>0.66642735042904855</v>
      </c>
      <c r="N161" s="52">
        <f t="shared" si="89"/>
        <v>0.10085732347746601</v>
      </c>
      <c r="O161" s="171"/>
      <c r="P161" s="168"/>
      <c r="Q161" s="168"/>
      <c r="R161" s="168"/>
      <c r="S161" s="168"/>
    </row>
    <row r="162" spans="1:19" ht="16" customHeight="1">
      <c r="B162" s="47" t="s">
        <v>409</v>
      </c>
      <c r="C162" s="47" t="str">
        <f t="shared" ref="C162:D172" si="92">B48</f>
        <v>Oil &amp; Gas</v>
      </c>
      <c r="D162" s="48">
        <f t="shared" si="92"/>
        <v>0.20370355829552153</v>
      </c>
      <c r="E162" s="63">
        <f>100</f>
        <v>100</v>
      </c>
      <c r="F162" s="60">
        <f t="shared" si="81"/>
        <v>68.046446548803658</v>
      </c>
      <c r="G162" s="60">
        <f t="shared" ref="G162:G172" si="93">MIN(100,MAX(I162,100*(1-$C$64*(1-$E48))))</f>
        <v>21.202439183115228</v>
      </c>
      <c r="H162" s="60">
        <f t="shared" si="83"/>
        <v>17.696188025106807</v>
      </c>
      <c r="I162" s="60">
        <f t="shared" si="84"/>
        <v>15.048089650123075</v>
      </c>
      <c r="J162" s="52">
        <f t="shared" si="85"/>
        <v>20.370355829552153</v>
      </c>
      <c r="K162" s="52">
        <f t="shared" si="86"/>
        <v>13.861303291357316</v>
      </c>
      <c r="L162" s="52">
        <f t="shared" si="87"/>
        <v>4.3190123061449626</v>
      </c>
      <c r="M162" s="52">
        <f t="shared" si="88"/>
        <v>3.6047764689808544</v>
      </c>
      <c r="N162" s="52">
        <f t="shared" si="89"/>
        <v>3.0653494072800798</v>
      </c>
      <c r="O162" s="171"/>
      <c r="P162" s="168"/>
      <c r="Q162" s="168"/>
      <c r="R162" s="168"/>
      <c r="S162" s="168"/>
    </row>
    <row r="163" spans="1:19" ht="16" customHeight="1">
      <c r="B163" s="47" t="s">
        <v>409</v>
      </c>
      <c r="C163" s="47" t="str">
        <f t="shared" si="92"/>
        <v>Cement</v>
      </c>
      <c r="D163" s="48">
        <f t="shared" si="92"/>
        <v>9.6295956467700491E-2</v>
      </c>
      <c r="E163" s="63">
        <f>100</f>
        <v>100</v>
      </c>
      <c r="F163" s="60">
        <f t="shared" si="81"/>
        <v>69.822131352284146</v>
      </c>
      <c r="G163" s="60">
        <f t="shared" si="93"/>
        <v>29.410518434874088</v>
      </c>
      <c r="H163" s="60">
        <f t="shared" si="83"/>
        <v>20.200951582487725</v>
      </c>
      <c r="I163" s="60">
        <f t="shared" si="84"/>
        <v>13.82595813453819</v>
      </c>
      <c r="J163" s="52">
        <f t="shared" si="85"/>
        <v>9.6295956467700492</v>
      </c>
      <c r="K163" s="52">
        <f t="shared" si="86"/>
        <v>6.7235889211816193</v>
      </c>
      <c r="L163" s="52">
        <f t="shared" si="87"/>
        <v>2.8321140028971379</v>
      </c>
      <c r="M163" s="52">
        <f t="shared" si="88"/>
        <v>1.9452699541933633</v>
      </c>
      <c r="N163" s="52">
        <f t="shared" si="89"/>
        <v>1.331383862647739</v>
      </c>
      <c r="O163" s="171"/>
      <c r="P163" s="168"/>
      <c r="Q163" s="168"/>
      <c r="R163" s="168"/>
      <c r="S163" s="168"/>
    </row>
    <row r="164" spans="1:19" ht="16" customHeight="1">
      <c r="B164" s="47" t="s">
        <v>409</v>
      </c>
      <c r="C164" s="47" t="str">
        <f t="shared" si="92"/>
        <v>Steel</v>
      </c>
      <c r="D164" s="48">
        <f t="shared" si="92"/>
        <v>0.12222220745907365</v>
      </c>
      <c r="E164" s="63">
        <f>100</f>
        <v>100</v>
      </c>
      <c r="F164" s="60">
        <f t="shared" si="81"/>
        <v>72.354135974986278</v>
      </c>
      <c r="G164" s="60">
        <f t="shared" si="93"/>
        <v>34.793158641365196</v>
      </c>
      <c r="H164" s="60">
        <f t="shared" si="83"/>
        <v>21.295104778212892</v>
      </c>
      <c r="I164" s="60">
        <f t="shared" si="84"/>
        <v>11.940485078291662</v>
      </c>
      <c r="J164" s="52">
        <f t="shared" si="85"/>
        <v>12.222220745907366</v>
      </c>
      <c r="K164" s="52">
        <f t="shared" si="86"/>
        <v>8.8432822176567978</v>
      </c>
      <c r="L164" s="52">
        <f t="shared" si="87"/>
        <v>4.2524966536213977</v>
      </c>
      <c r="M164" s="52">
        <f t="shared" si="88"/>
        <v>2.6027347140654467</v>
      </c>
      <c r="N164" s="52">
        <f t="shared" si="89"/>
        <v>1.4593924444009367</v>
      </c>
      <c r="O164" s="171"/>
      <c r="P164" s="168"/>
      <c r="Q164" s="168"/>
      <c r="R164" s="168"/>
      <c r="S164" s="168"/>
    </row>
    <row r="165" spans="1:19" ht="16" customHeight="1">
      <c r="B165" s="47" t="s">
        <v>409</v>
      </c>
      <c r="C165" s="47" t="str">
        <f t="shared" si="92"/>
        <v>Aviation</v>
      </c>
      <c r="D165" s="48">
        <f t="shared" si="92"/>
        <v>7.7777957837227088E-2</v>
      </c>
      <c r="E165" s="63">
        <f>100</f>
        <v>100</v>
      </c>
      <c r="F165" s="60">
        <f t="shared" si="81"/>
        <v>73.661227743014791</v>
      </c>
      <c r="G165" s="60">
        <f t="shared" si="93"/>
        <v>38.949637565296548</v>
      </c>
      <c r="H165" s="60">
        <f t="shared" si="83"/>
        <v>22.472342013843647</v>
      </c>
      <c r="I165" s="60">
        <f t="shared" si="84"/>
        <v>11.281890003070064</v>
      </c>
      <c r="J165" s="52">
        <f t="shared" si="85"/>
        <v>7.7777957837227092</v>
      </c>
      <c r="K165" s="52">
        <f t="shared" si="86"/>
        <v>5.7292198656345867</v>
      </c>
      <c r="L165" s="52">
        <f t="shared" si="87"/>
        <v>3.0294232683289111</v>
      </c>
      <c r="M165" s="52">
        <f t="shared" si="88"/>
        <v>1.7478528696564781</v>
      </c>
      <c r="N165" s="52">
        <f t="shared" si="89"/>
        <v>0.87748236498301724</v>
      </c>
      <c r="O165" s="171"/>
      <c r="P165" s="168"/>
      <c r="Q165" s="168"/>
      <c r="R165" s="168"/>
      <c r="S165" s="168"/>
    </row>
    <row r="166" spans="1:19" ht="16" customHeight="1">
      <c r="B166" s="47" t="s">
        <v>409</v>
      </c>
      <c r="C166" s="47" t="str">
        <f t="shared" si="92"/>
        <v>Power &amp; Utilities</v>
      </c>
      <c r="D166" s="48">
        <f t="shared" si="92"/>
        <v>0.17530933937250623</v>
      </c>
      <c r="E166" s="63">
        <f>100</f>
        <v>100</v>
      </c>
      <c r="F166" s="60">
        <f t="shared" si="81"/>
        <v>77.733457694589305</v>
      </c>
      <c r="G166" s="60">
        <f t="shared" si="93"/>
        <v>58.822802420343237</v>
      </c>
      <c r="H166" s="60">
        <f t="shared" si="83"/>
        <v>25.506511718972362</v>
      </c>
      <c r="I166" s="60">
        <f t="shared" si="84"/>
        <v>9.2864557601811271</v>
      </c>
      <c r="J166" s="52">
        <f t="shared" si="85"/>
        <v>17.530933937250623</v>
      </c>
      <c r="K166" s="52">
        <f t="shared" si="86"/>
        <v>13.627401115579111</v>
      </c>
      <c r="L166" s="52">
        <f t="shared" si="87"/>
        <v>10.312186632349833</v>
      </c>
      <c r="M166" s="52">
        <f t="shared" si="88"/>
        <v>4.4715297191501326</v>
      </c>
      <c r="N166" s="52">
        <f t="shared" si="89"/>
        <v>1.6280024244293585</v>
      </c>
      <c r="O166" s="171"/>
      <c r="P166" s="168"/>
      <c r="Q166" s="168"/>
      <c r="R166" s="168"/>
      <c r="S166" s="168"/>
    </row>
    <row r="167" spans="1:19" ht="16" customHeight="1">
      <c r="B167" s="47" t="s">
        <v>409</v>
      </c>
      <c r="C167" s="47" t="str">
        <f t="shared" si="92"/>
        <v>Chemicals</v>
      </c>
      <c r="D167" s="48">
        <f t="shared" si="92"/>
        <v>9.629582965669764E-2</v>
      </c>
      <c r="E167" s="63">
        <f>100</f>
        <v>100</v>
      </c>
      <c r="F167" s="60">
        <f t="shared" si="81"/>
        <v>82.427270894024218</v>
      </c>
      <c r="G167" s="60">
        <f t="shared" si="93"/>
        <v>66.055331269229086</v>
      </c>
      <c r="H167" s="60">
        <f t="shared" si="83"/>
        <v>27.021444678642958</v>
      </c>
      <c r="I167" s="60">
        <f t="shared" si="84"/>
        <v>6.9002342186212058</v>
      </c>
      <c r="J167" s="52">
        <f t="shared" si="85"/>
        <v>9.6295829656697638</v>
      </c>
      <c r="K167" s="52">
        <f t="shared" si="86"/>
        <v>7.9374024370774272</v>
      </c>
      <c r="L167" s="52">
        <f t="shared" si="87"/>
        <v>6.3608529278184172</v>
      </c>
      <c r="M167" s="52">
        <f t="shared" si="88"/>
        <v>2.6020524338524811</v>
      </c>
      <c r="N167" s="52">
        <f t="shared" si="89"/>
        <v>0.66446377890766373</v>
      </c>
      <c r="O167" s="171"/>
      <c r="P167" s="168"/>
      <c r="Q167" s="168"/>
      <c r="R167" s="168"/>
      <c r="S167" s="168"/>
    </row>
    <row r="168" spans="1:19" ht="16" customHeight="1">
      <c r="B168" s="47" t="s">
        <v>409</v>
      </c>
      <c r="C168" s="47" t="str">
        <f t="shared" si="92"/>
        <v>Shipping</v>
      </c>
      <c r="D168" s="48">
        <f t="shared" si="92"/>
        <v>6.4197520227738933E-2</v>
      </c>
      <c r="E168" s="63">
        <f>100</f>
        <v>100</v>
      </c>
      <c r="F168" s="60">
        <f t="shared" si="81"/>
        <v>86.377823011865118</v>
      </c>
      <c r="G168" s="60">
        <f t="shared" si="93"/>
        <v>74.036052757654858</v>
      </c>
      <c r="H168" s="60">
        <f t="shared" si="83"/>
        <v>28.17286912733433</v>
      </c>
      <c r="I168" s="60">
        <f t="shared" si="84"/>
        <v>5.0846101454081198</v>
      </c>
      <c r="J168" s="52">
        <f t="shared" si="85"/>
        <v>6.4197520227738929</v>
      </c>
      <c r="K168" s="52">
        <f t="shared" si="86"/>
        <v>5.5452420400322646</v>
      </c>
      <c r="L168" s="52">
        <f t="shared" si="87"/>
        <v>4.7529309944914946</v>
      </c>
      <c r="M168" s="52">
        <f t="shared" si="88"/>
        <v>1.8086283356754873</v>
      </c>
      <c r="N168" s="52">
        <f t="shared" si="89"/>
        <v>0.32641936266000438</v>
      </c>
      <c r="O168" s="171"/>
      <c r="P168" s="168"/>
      <c r="Q168" s="168"/>
      <c r="R168" s="168"/>
      <c r="S168" s="168"/>
    </row>
    <row r="169" spans="1:19" ht="16" customHeight="1">
      <c r="B169" s="47" t="s">
        <v>409</v>
      </c>
      <c r="C169" s="47" t="str">
        <f t="shared" si="92"/>
        <v>Automotive</v>
      </c>
      <c r="D169" s="48">
        <f t="shared" si="92"/>
        <v>5.6790221257228386E-2</v>
      </c>
      <c r="E169" s="63">
        <f>100</f>
        <v>100</v>
      </c>
      <c r="F169" s="60">
        <f t="shared" si="81"/>
        <v>92.465633160777656</v>
      </c>
      <c r="G169" s="60">
        <f t="shared" si="93"/>
        <v>86.056398703184982</v>
      </c>
      <c r="H169" s="60">
        <f t="shared" si="83"/>
        <v>30.31135158978114</v>
      </c>
      <c r="I169" s="60">
        <f t="shared" si="84"/>
        <v>3.9451599026603636</v>
      </c>
      <c r="J169" s="52">
        <f t="shared" si="85"/>
        <v>5.679022125722839</v>
      </c>
      <c r="K169" s="52">
        <f t="shared" si="86"/>
        <v>5.2511437658902773</v>
      </c>
      <c r="L169" s="52">
        <f t="shared" si="87"/>
        <v>4.887161922954137</v>
      </c>
      <c r="M169" s="52">
        <f t="shared" si="88"/>
        <v>1.7213883633893123</v>
      </c>
      <c r="N169" s="52">
        <f t="shared" si="89"/>
        <v>0.22404650376722765</v>
      </c>
      <c r="O169" s="171"/>
      <c r="P169" s="168"/>
      <c r="Q169" s="168"/>
      <c r="R169" s="168"/>
      <c r="S169" s="168"/>
    </row>
    <row r="170" spans="1:19" ht="16" customHeight="1">
      <c r="B170" s="47" t="s">
        <v>409</v>
      </c>
      <c r="C170" s="47" t="str">
        <f t="shared" si="92"/>
        <v>Agriculture &amp; Food</v>
      </c>
      <c r="D170" s="48">
        <f t="shared" si="92"/>
        <v>5.4321014526120003E-2</v>
      </c>
      <c r="E170" s="63">
        <f>100</f>
        <v>100</v>
      </c>
      <c r="F170" s="60">
        <f t="shared" si="81"/>
        <v>95.226072279719645</v>
      </c>
      <c r="G170" s="60">
        <f t="shared" si="93"/>
        <v>91.036256309190335</v>
      </c>
      <c r="H170" s="60">
        <f t="shared" si="83"/>
        <v>32.843831565371914</v>
      </c>
      <c r="I170" s="60">
        <f t="shared" si="84"/>
        <v>4.3836366924738535</v>
      </c>
      <c r="J170" s="52">
        <f t="shared" si="85"/>
        <v>5.4321014526120006</v>
      </c>
      <c r="K170" s="52">
        <f t="shared" si="86"/>
        <v>5.1727768555720042</v>
      </c>
      <c r="L170" s="52">
        <f t="shared" si="87"/>
        <v>4.9451818013751119</v>
      </c>
      <c r="M170" s="52">
        <f t="shared" si="88"/>
        <v>1.7841102515560063</v>
      </c>
      <c r="N170" s="52">
        <f t="shared" si="89"/>
        <v>0.23812359244910483</v>
      </c>
      <c r="O170" s="171"/>
      <c r="P170" s="168"/>
      <c r="Q170" s="168"/>
      <c r="R170" s="168"/>
      <c r="S170" s="168"/>
    </row>
    <row r="171" spans="1:19" ht="16" customHeight="1">
      <c r="B171" s="47" t="s">
        <v>409</v>
      </c>
      <c r="C171" s="47" t="str">
        <f t="shared" si="92"/>
        <v>Real Estate</v>
      </c>
      <c r="D171" s="48">
        <f t="shared" si="92"/>
        <v>3.7037032793710359E-2</v>
      </c>
      <c r="E171" s="63">
        <f>100</f>
        <v>100</v>
      </c>
      <c r="F171" s="60">
        <f t="shared" si="81"/>
        <v>100</v>
      </c>
      <c r="G171" s="60">
        <f t="shared" si="93"/>
        <v>100</v>
      </c>
      <c r="H171" s="60">
        <f t="shared" si="83"/>
        <v>32.109987151433529</v>
      </c>
      <c r="I171" s="60">
        <f t="shared" si="84"/>
        <v>3.4912195266478534</v>
      </c>
      <c r="J171" s="52">
        <f t="shared" si="85"/>
        <v>3.7037032793710361</v>
      </c>
      <c r="K171" s="52">
        <f t="shared" si="86"/>
        <v>3.7037032793710361</v>
      </c>
      <c r="L171" s="52">
        <f t="shared" si="87"/>
        <v>3.7037032793710361</v>
      </c>
      <c r="M171" s="52">
        <f t="shared" si="88"/>
        <v>1.1892586471332618</v>
      </c>
      <c r="N171" s="52">
        <f t="shared" si="89"/>
        <v>0.12930441209849849</v>
      </c>
      <c r="O171" s="171"/>
      <c r="P171" s="168"/>
      <c r="Q171" s="168"/>
      <c r="R171" s="168"/>
      <c r="S171" s="168"/>
    </row>
    <row r="172" spans="1:19" ht="16" customHeight="1">
      <c r="B172" s="47" t="s">
        <v>409</v>
      </c>
      <c r="C172" s="47" t="str">
        <f t="shared" si="92"/>
        <v>Retail &amp; Services</v>
      </c>
      <c r="D172" s="48">
        <f t="shared" si="92"/>
        <v>1.6049362106475677E-2</v>
      </c>
      <c r="E172" s="63">
        <f>100</f>
        <v>100</v>
      </c>
      <c r="F172" s="60">
        <f t="shared" si="81"/>
        <v>100</v>
      </c>
      <c r="G172" s="60">
        <f t="shared" si="93"/>
        <v>100</v>
      </c>
      <c r="H172" s="60">
        <f t="shared" si="83"/>
        <v>32.549470744161098</v>
      </c>
      <c r="I172" s="60">
        <f t="shared" si="84"/>
        <v>3.4912195266478534</v>
      </c>
      <c r="J172" s="52">
        <f t="shared" si="85"/>
        <v>1.6049362106475678</v>
      </c>
      <c r="K172" s="52">
        <f t="shared" si="86"/>
        <v>1.6049362106475678</v>
      </c>
      <c r="L172" s="52">
        <f t="shared" si="87"/>
        <v>1.6049362106475678</v>
      </c>
      <c r="M172" s="52">
        <f t="shared" si="88"/>
        <v>0.5223982423471778</v>
      </c>
      <c r="N172" s="52">
        <f t="shared" si="89"/>
        <v>5.6031846376370008E-2</v>
      </c>
      <c r="O172" s="171"/>
      <c r="P172" s="168"/>
      <c r="Q172" s="168"/>
      <c r="R172" s="168"/>
      <c r="S172" s="168"/>
    </row>
    <row r="173" spans="1:19" ht="26" customHeight="1"/>
    <row r="174" spans="1:19" ht="22" customHeight="1">
      <c r="A174" t="s">
        <v>11</v>
      </c>
      <c r="B174" s="42" t="s">
        <v>439</v>
      </c>
      <c r="C174" s="35"/>
      <c r="D174" s="35"/>
      <c r="E174" s="35"/>
      <c r="F174" s="35"/>
      <c r="G174" s="35"/>
      <c r="H174" s="35"/>
    </row>
    <row r="175" spans="1:19" ht="19" customHeight="1">
      <c r="B175" s="36" t="s">
        <v>387</v>
      </c>
      <c r="C175" s="36" t="s">
        <v>251</v>
      </c>
      <c r="D175" s="36" t="s">
        <v>427</v>
      </c>
      <c r="E175" s="36" t="s">
        <v>428</v>
      </c>
      <c r="F175" s="36" t="s">
        <v>429</v>
      </c>
      <c r="G175" s="36" t="s">
        <v>430</v>
      </c>
      <c r="H175" s="36" t="s">
        <v>431</v>
      </c>
    </row>
    <row r="176" spans="1:19" ht="19" customHeight="1">
      <c r="B176" s="54" t="s">
        <v>405</v>
      </c>
      <c r="C176" s="54" t="s">
        <v>440</v>
      </c>
      <c r="D176" s="60">
        <f>SUM(J$140:J$150)</f>
        <v>100.00000000000001</v>
      </c>
      <c r="E176" s="60">
        <f>SUM(K$140:K$150)</f>
        <v>96.000000000000014</v>
      </c>
      <c r="F176" s="60">
        <f>SUM(L$140:L$150)</f>
        <v>90.000000000000014</v>
      </c>
      <c r="G176" s="60">
        <f>SUM(M$140:M$150)</f>
        <v>69.999999999999986</v>
      </c>
      <c r="H176" s="60">
        <f>SUM(N$140:N$150)</f>
        <v>54.999999999999993</v>
      </c>
    </row>
    <row r="177" spans="1:11" ht="19" customHeight="1">
      <c r="B177" s="54" t="s">
        <v>407</v>
      </c>
      <c r="C177" s="54" t="s">
        <v>440</v>
      </c>
      <c r="D177" s="60">
        <f>SUM(J$151:J$161)</f>
        <v>100.00000000000001</v>
      </c>
      <c r="E177" s="60">
        <f>SUM(K$151:K$161)</f>
        <v>86.000000000000014</v>
      </c>
      <c r="F177" s="60">
        <f>SUM(L$151:L$161)</f>
        <v>67.000000000000014</v>
      </c>
      <c r="G177" s="60">
        <f>SUM(M$151:M$161)</f>
        <v>38</v>
      </c>
      <c r="H177" s="60">
        <f>SUM(N$151:N$161)</f>
        <v>18</v>
      </c>
    </row>
    <row r="178" spans="1:11" ht="19" customHeight="1">
      <c r="B178" s="54" t="s">
        <v>409</v>
      </c>
      <c r="C178" s="54" t="s">
        <v>440</v>
      </c>
      <c r="D178" s="60">
        <f>SUM(J$162:J$172)</f>
        <v>100.00000000000001</v>
      </c>
      <c r="E178" s="60">
        <f>SUM(K$162:K$172)</f>
        <v>78.000000000000014</v>
      </c>
      <c r="F178" s="60">
        <f>SUM(L$162:L$172)</f>
        <v>51</v>
      </c>
      <c r="G178" s="60">
        <f>SUM(M$162:M$172)</f>
        <v>24</v>
      </c>
      <c r="H178" s="60">
        <f>SUM(N$162:N$172)</f>
        <v>10.000000000000002</v>
      </c>
    </row>
    <row r="179" spans="1:11" ht="26" customHeight="1"/>
    <row r="180" spans="1:11" ht="22" customHeight="1">
      <c r="A180" t="s">
        <v>11</v>
      </c>
      <c r="B180" s="42" t="s">
        <v>441</v>
      </c>
      <c r="C180" s="35"/>
      <c r="D180" s="35"/>
      <c r="E180" s="35"/>
      <c r="F180" s="35"/>
      <c r="G180" s="35"/>
      <c r="H180" s="35"/>
      <c r="I180" s="35"/>
      <c r="J180" s="35"/>
      <c r="K180" s="35"/>
    </row>
    <row r="181" spans="1:11" ht="42" customHeight="1">
      <c r="B181" s="36" t="s">
        <v>387</v>
      </c>
      <c r="C181" s="36" t="s">
        <v>442</v>
      </c>
      <c r="D181" s="36" t="s">
        <v>443</v>
      </c>
      <c r="E181" s="36" t="s">
        <v>444</v>
      </c>
      <c r="F181" s="36" t="s">
        <v>445</v>
      </c>
      <c r="G181" s="36"/>
      <c r="H181" s="36"/>
      <c r="I181" s="36" t="s">
        <v>437</v>
      </c>
      <c r="J181" s="36"/>
      <c r="K181" s="36"/>
    </row>
    <row r="182" spans="1:11" ht="15" customHeight="1">
      <c r="B182" s="62" t="s">
        <v>405</v>
      </c>
      <c r="C182" s="54">
        <v>2024</v>
      </c>
      <c r="D182" s="52">
        <f>$H$176</f>
        <v>54.999999999999993</v>
      </c>
      <c r="E182" s="52">
        <f>D$176</f>
        <v>100.00000000000001</v>
      </c>
      <c r="F182" s="59">
        <f t="shared" ref="F182:F196" si="94">IFERROR((100-E182)/(100-D182),0)</f>
        <v>-3.1579677144893338E-16</v>
      </c>
      <c r="G182" s="171"/>
      <c r="H182" s="168"/>
      <c r="I182" s="168"/>
      <c r="J182" s="168"/>
      <c r="K182" s="168"/>
    </row>
    <row r="183" spans="1:11" ht="15" customHeight="1">
      <c r="B183" s="62" t="s">
        <v>405</v>
      </c>
      <c r="C183" s="54">
        <v>2026</v>
      </c>
      <c r="D183" s="52">
        <f>$H$176</f>
        <v>54.999999999999993</v>
      </c>
      <c r="E183" s="52">
        <f>E$176</f>
        <v>96.000000000000014</v>
      </c>
      <c r="F183" s="59">
        <f t="shared" si="94"/>
        <v>8.8888888888888559E-2</v>
      </c>
      <c r="G183" s="171"/>
      <c r="H183" s="168"/>
      <c r="I183" s="168"/>
      <c r="J183" s="168"/>
      <c r="K183" s="168"/>
    </row>
    <row r="184" spans="1:11" ht="15" customHeight="1">
      <c r="B184" s="62" t="s">
        <v>405</v>
      </c>
      <c r="C184" s="54">
        <v>2030</v>
      </c>
      <c r="D184" s="52">
        <f>$H$176</f>
        <v>54.999999999999993</v>
      </c>
      <c r="E184" s="52">
        <f>F$176</f>
        <v>90.000000000000014</v>
      </c>
      <c r="F184" s="59">
        <f t="shared" si="94"/>
        <v>0.22222222222222188</v>
      </c>
      <c r="G184" s="171"/>
      <c r="H184" s="168"/>
      <c r="I184" s="168"/>
      <c r="J184" s="168"/>
      <c r="K184" s="168"/>
    </row>
    <row r="185" spans="1:11" ht="15" customHeight="1">
      <c r="B185" s="62" t="s">
        <v>405</v>
      </c>
      <c r="C185" s="54">
        <v>2040</v>
      </c>
      <c r="D185" s="52">
        <f>$H$176</f>
        <v>54.999999999999993</v>
      </c>
      <c r="E185" s="52">
        <f>G$176</f>
        <v>69.999999999999986</v>
      </c>
      <c r="F185" s="59">
        <f t="shared" si="94"/>
        <v>0.66666666666666685</v>
      </c>
      <c r="G185" s="171"/>
      <c r="H185" s="168"/>
      <c r="I185" s="168"/>
      <c r="J185" s="168"/>
      <c r="K185" s="168"/>
    </row>
    <row r="186" spans="1:11" ht="15" customHeight="1">
      <c r="B186" s="62" t="s">
        <v>405</v>
      </c>
      <c r="C186" s="54">
        <v>2050</v>
      </c>
      <c r="D186" s="52">
        <f>$H$176</f>
        <v>54.999999999999993</v>
      </c>
      <c r="E186" s="52">
        <f>H$176</f>
        <v>54.999999999999993</v>
      </c>
      <c r="F186" s="59">
        <f t="shared" si="94"/>
        <v>1</v>
      </c>
      <c r="G186" s="171"/>
      <c r="H186" s="168"/>
      <c r="I186" s="168"/>
      <c r="J186" s="168"/>
      <c r="K186" s="168"/>
    </row>
    <row r="187" spans="1:11" ht="15" customHeight="1">
      <c r="B187" s="62" t="s">
        <v>407</v>
      </c>
      <c r="C187" s="54">
        <v>2024</v>
      </c>
      <c r="D187" s="52">
        <f>$H$177</f>
        <v>18</v>
      </c>
      <c r="E187" s="52">
        <f>D$177</f>
        <v>100.00000000000001</v>
      </c>
      <c r="F187" s="59">
        <f>IFERROR((100-E187)/(100-D187),0)</f>
        <v>-1.7330310628295127E-16</v>
      </c>
      <c r="G187" s="171"/>
      <c r="H187" s="168"/>
      <c r="I187" s="168"/>
      <c r="J187" s="168"/>
      <c r="K187" s="168"/>
    </row>
    <row r="188" spans="1:11" ht="15" customHeight="1">
      <c r="B188" s="62" t="s">
        <v>407</v>
      </c>
      <c r="C188" s="54">
        <v>2026</v>
      </c>
      <c r="D188" s="52">
        <f>$H$177</f>
        <v>18</v>
      </c>
      <c r="E188" s="52">
        <f>E$177</f>
        <v>86.000000000000014</v>
      </c>
      <c r="F188" s="59">
        <f t="shared" si="94"/>
        <v>0.17073170731707299</v>
      </c>
      <c r="G188" s="171" t="s">
        <v>446</v>
      </c>
      <c r="H188" s="168"/>
      <c r="I188" s="168"/>
      <c r="J188" s="168"/>
      <c r="K188" s="168"/>
    </row>
    <row r="189" spans="1:11" ht="15" customHeight="1">
      <c r="B189" s="62" t="s">
        <v>407</v>
      </c>
      <c r="C189" s="54">
        <v>2030</v>
      </c>
      <c r="D189" s="52">
        <f>$H$177</f>
        <v>18</v>
      </c>
      <c r="E189" s="52">
        <f>F$177</f>
        <v>67.000000000000014</v>
      </c>
      <c r="F189" s="59">
        <f t="shared" si="94"/>
        <v>0.4024390243902437</v>
      </c>
      <c r="G189" s="171"/>
      <c r="H189" s="168"/>
      <c r="I189" s="168"/>
      <c r="J189" s="168"/>
      <c r="K189" s="168"/>
    </row>
    <row r="190" spans="1:11" ht="15" customHeight="1">
      <c r="B190" s="62" t="s">
        <v>407</v>
      </c>
      <c r="C190" s="54">
        <v>2040</v>
      </c>
      <c r="D190" s="52">
        <f>$H$177</f>
        <v>18</v>
      </c>
      <c r="E190" s="52">
        <f>G$177</f>
        <v>38</v>
      </c>
      <c r="F190" s="59">
        <f t="shared" si="94"/>
        <v>0.75609756097560976</v>
      </c>
      <c r="G190" s="171"/>
      <c r="H190" s="168"/>
      <c r="I190" s="168"/>
      <c r="J190" s="168"/>
      <c r="K190" s="168"/>
    </row>
    <row r="191" spans="1:11" ht="15" customHeight="1">
      <c r="B191" s="62" t="s">
        <v>407</v>
      </c>
      <c r="C191" s="54">
        <v>2050</v>
      </c>
      <c r="D191" s="52">
        <f>$H$177</f>
        <v>18</v>
      </c>
      <c r="E191" s="52">
        <f>H$177</f>
        <v>18</v>
      </c>
      <c r="F191" s="59">
        <f t="shared" si="94"/>
        <v>1</v>
      </c>
      <c r="G191" s="171"/>
      <c r="H191" s="168"/>
      <c r="I191" s="168"/>
      <c r="J191" s="168"/>
      <c r="K191" s="168"/>
    </row>
    <row r="192" spans="1:11" ht="15" customHeight="1">
      <c r="B192" s="62" t="s">
        <v>409</v>
      </c>
      <c r="C192" s="54">
        <v>2024</v>
      </c>
      <c r="D192" s="52">
        <f>$H$178</f>
        <v>10.000000000000002</v>
      </c>
      <c r="E192" s="52">
        <f>D$178</f>
        <v>100.00000000000001</v>
      </c>
      <c r="F192" s="59">
        <f t="shared" si="94"/>
        <v>-1.5789838572446671E-16</v>
      </c>
      <c r="G192" s="171"/>
      <c r="H192" s="168"/>
      <c r="I192" s="168"/>
      <c r="J192" s="168"/>
      <c r="K192" s="168"/>
    </row>
    <row r="193" spans="1:29" ht="15" customHeight="1">
      <c r="B193" s="62" t="s">
        <v>409</v>
      </c>
      <c r="C193" s="54">
        <v>2026</v>
      </c>
      <c r="D193" s="52">
        <f>$H$178</f>
        <v>10.000000000000002</v>
      </c>
      <c r="E193" s="52">
        <f>E$178</f>
        <v>78.000000000000014</v>
      </c>
      <c r="F193" s="59">
        <f t="shared" si="94"/>
        <v>0.2444444444444443</v>
      </c>
      <c r="G193" s="171"/>
      <c r="H193" s="168"/>
      <c r="I193" s="168"/>
      <c r="J193" s="168"/>
      <c r="K193" s="168"/>
    </row>
    <row r="194" spans="1:29" ht="15" customHeight="1">
      <c r="B194" s="62" t="s">
        <v>409</v>
      </c>
      <c r="C194" s="54">
        <v>2030</v>
      </c>
      <c r="D194" s="52">
        <f>$H$178</f>
        <v>10.000000000000002</v>
      </c>
      <c r="E194" s="52">
        <f>F$178</f>
        <v>51</v>
      </c>
      <c r="F194" s="59">
        <f t="shared" si="94"/>
        <v>0.5444444444444444</v>
      </c>
      <c r="G194" s="171"/>
      <c r="H194" s="168"/>
      <c r="I194" s="168"/>
      <c r="J194" s="168"/>
      <c r="K194" s="168"/>
    </row>
    <row r="195" spans="1:29" ht="15" customHeight="1">
      <c r="B195" s="62" t="s">
        <v>409</v>
      </c>
      <c r="C195" s="54">
        <v>2040</v>
      </c>
      <c r="D195" s="52">
        <f>$H$178</f>
        <v>10.000000000000002</v>
      </c>
      <c r="E195" s="52">
        <f>G$178</f>
        <v>24</v>
      </c>
      <c r="F195" s="59">
        <f t="shared" si="94"/>
        <v>0.84444444444444444</v>
      </c>
      <c r="G195" s="171"/>
      <c r="H195" s="168"/>
      <c r="I195" s="168"/>
      <c r="J195" s="168"/>
      <c r="K195" s="168"/>
    </row>
    <row r="196" spans="1:29" ht="15" customHeight="1">
      <c r="B196" s="62" t="s">
        <v>409</v>
      </c>
      <c r="C196" s="54">
        <v>2050</v>
      </c>
      <c r="D196" s="52">
        <f>$H$178</f>
        <v>10.000000000000002</v>
      </c>
      <c r="E196" s="52">
        <f>H$178</f>
        <v>10.000000000000002</v>
      </c>
      <c r="F196" s="59">
        <f t="shared" si="94"/>
        <v>1</v>
      </c>
      <c r="G196" s="171"/>
      <c r="H196" s="168"/>
      <c r="I196" s="168"/>
      <c r="J196" s="168"/>
      <c r="K196" s="168"/>
    </row>
    <row r="197" spans="1:29" ht="26" customHeight="1"/>
    <row r="198" spans="1:29" ht="14" customHeight="1">
      <c r="A198" t="s">
        <v>11</v>
      </c>
      <c r="B198" s="35"/>
      <c r="C198" s="35"/>
      <c r="D198" s="35"/>
      <c r="E198" s="35"/>
      <c r="F198" s="35"/>
      <c r="G198" s="35"/>
      <c r="H198" s="35"/>
      <c r="I198" s="35"/>
      <c r="J198" s="35"/>
      <c r="K198" s="35"/>
      <c r="L198" s="35"/>
      <c r="M198" s="35"/>
      <c r="N198" s="35"/>
      <c r="O198" s="35"/>
      <c r="P198" s="35"/>
      <c r="Q198" s="35"/>
      <c r="R198" s="35"/>
      <c r="S198" s="35"/>
      <c r="T198" s="35"/>
      <c r="U198" s="35"/>
      <c r="V198" s="35"/>
      <c r="W198" s="35"/>
      <c r="X198" s="35"/>
      <c r="Y198" s="35"/>
      <c r="Z198" s="35"/>
      <c r="AA198" s="35"/>
      <c r="AB198" s="35"/>
      <c r="AC198" s="35"/>
    </row>
    <row r="199" spans="1:29" ht="26" hidden="1" customHeight="1"/>
    <row r="200" spans="1:29" ht="26" hidden="1" customHeight="1"/>
    <row r="201" spans="1:29" ht="26" hidden="1" customHeight="1"/>
    <row r="202" spans="1:29" ht="26" hidden="1" customHeight="1"/>
    <row r="203" spans="1:29" ht="26" hidden="1" customHeight="1"/>
    <row r="204" spans="1:29" ht="26" hidden="1" customHeight="1"/>
    <row r="205" spans="1:29"/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C111"/>
  <sheetViews>
    <sheetView showGridLines="0" workbookViewId="0">
      <pane xSplit="4" ySplit="12" topLeftCell="E13" activePane="bottomRight" state="frozen"/>
      <selection pane="topRight" activeCell="E1" sqref="E1"/>
      <selection pane="bottomLeft" activeCell="A13" sqref="A13"/>
      <selection pane="bottomRight"/>
    </sheetView>
  </sheetViews>
  <sheetFormatPr baseColWidth="10" defaultColWidth="0" defaultRowHeight="14" zeroHeight="1"/>
  <cols>
    <col min="1" max="1" width="2.83203125" customWidth="1"/>
    <col min="2" max="2" width="15.1640625" customWidth="1"/>
    <col min="3" max="3" width="26.33203125" customWidth="1"/>
    <col min="4" max="4" width="16.6640625" customWidth="1"/>
    <col min="5" max="5" width="19.33203125" customWidth="1"/>
    <col min="6" max="6" width="13.5" customWidth="1"/>
    <col min="7" max="7" width="22.1640625" customWidth="1"/>
    <col min="8" max="8" width="15" customWidth="1"/>
    <col min="9" max="9" width="17.6640625" customWidth="1"/>
    <col min="10" max="10" width="15.5" customWidth="1"/>
    <col min="11" max="11" width="23.33203125" customWidth="1"/>
    <col min="12" max="13" width="17" customWidth="1"/>
    <col min="14" max="14" width="12" customWidth="1"/>
    <col min="15" max="15" width="26.83203125" customWidth="1"/>
    <col min="16" max="16" width="11" customWidth="1"/>
    <col min="17" max="17" width="8.83203125" customWidth="1"/>
    <col min="18" max="29" width="0" hidden="1" customWidth="1"/>
    <col min="30" max="16384" width="8.83203125" hidden="1"/>
  </cols>
  <sheetData>
    <row r="1" spans="1:29" ht="47" customHeight="1">
      <c r="A1" s="132" t="s">
        <v>447</v>
      </c>
      <c r="B1" s="143"/>
      <c r="C1" s="143"/>
      <c r="D1" s="143"/>
      <c r="E1" s="143"/>
      <c r="F1" s="143"/>
      <c r="G1" s="143"/>
      <c r="H1" s="23"/>
      <c r="I1" s="23"/>
      <c r="J1" s="23"/>
      <c r="K1" s="23"/>
      <c r="L1" s="23"/>
      <c r="M1" s="23"/>
      <c r="N1" s="23"/>
      <c r="O1" s="23"/>
      <c r="P1" s="23"/>
      <c r="Q1" s="23"/>
      <c r="R1" s="119"/>
      <c r="S1" s="119"/>
      <c r="T1" s="119"/>
      <c r="U1" s="119"/>
      <c r="V1" s="119"/>
      <c r="W1" s="119"/>
      <c r="X1" s="119"/>
      <c r="Y1" s="119"/>
      <c r="Z1" s="119"/>
      <c r="AA1" s="160"/>
    </row>
    <row r="2" spans="1:29" ht="15">
      <c r="A2" s="34" t="s">
        <v>448</v>
      </c>
      <c r="B2" s="144"/>
      <c r="C2" s="145"/>
      <c r="D2" s="144"/>
      <c r="E2" s="146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129"/>
      <c r="S2" s="129"/>
      <c r="T2" s="129"/>
      <c r="U2" s="129"/>
      <c r="V2" s="129"/>
      <c r="W2" s="129"/>
      <c r="X2" s="129"/>
      <c r="Y2" s="129"/>
      <c r="Z2" s="129"/>
      <c r="AA2" s="129"/>
    </row>
    <row r="3" spans="1:29" ht="15">
      <c r="C3" s="147"/>
      <c r="D3" s="148"/>
      <c r="E3" s="149"/>
      <c r="F3" s="148"/>
      <c r="G3" s="150"/>
      <c r="H3" s="147"/>
      <c r="I3" s="147"/>
      <c r="J3" s="147"/>
      <c r="K3" s="147"/>
      <c r="L3" s="147"/>
      <c r="M3" s="147"/>
      <c r="N3" s="147"/>
      <c r="O3" s="147"/>
      <c r="P3" s="147"/>
      <c r="Q3" s="161"/>
      <c r="R3" s="161"/>
      <c r="S3" s="161"/>
      <c r="T3" s="161"/>
      <c r="U3" s="161"/>
      <c r="V3" s="161"/>
      <c r="W3" s="161"/>
      <c r="X3" s="161"/>
      <c r="Y3" s="161"/>
      <c r="Z3" s="161"/>
      <c r="AA3" s="161"/>
      <c r="AB3" s="161"/>
      <c r="AC3" s="161"/>
    </row>
    <row r="4" spans="1:29" ht="15">
      <c r="A4" t="s">
        <v>11</v>
      </c>
      <c r="B4" s="32" t="s">
        <v>449</v>
      </c>
      <c r="C4" s="29"/>
      <c r="D4" s="29"/>
      <c r="E4" s="29"/>
      <c r="F4" s="29"/>
      <c r="G4" s="29"/>
      <c r="H4" s="147"/>
      <c r="I4" s="147"/>
      <c r="J4" s="147"/>
      <c r="K4" s="147"/>
      <c r="L4" s="147"/>
      <c r="M4" s="147"/>
      <c r="N4" s="147"/>
      <c r="O4" s="147"/>
      <c r="P4" s="147"/>
      <c r="Q4" s="161"/>
      <c r="R4" s="161"/>
      <c r="S4" s="161"/>
      <c r="T4" s="161"/>
      <c r="U4" s="161"/>
      <c r="V4" s="161"/>
      <c r="W4" s="161"/>
      <c r="X4" s="161"/>
      <c r="Y4" s="161"/>
      <c r="Z4" s="161"/>
      <c r="AA4" s="161"/>
      <c r="AB4" s="161"/>
      <c r="AC4" s="161"/>
    </row>
    <row r="5" spans="1:29" ht="15">
      <c r="B5" s="114" t="s">
        <v>450</v>
      </c>
      <c r="C5" s="114" t="s">
        <v>451</v>
      </c>
      <c r="D5" s="151" t="s">
        <v>361</v>
      </c>
      <c r="E5" s="152" t="s">
        <v>38</v>
      </c>
      <c r="F5" s="152" t="s">
        <v>39</v>
      </c>
      <c r="G5" s="114" t="s">
        <v>452</v>
      </c>
      <c r="H5" s="147"/>
      <c r="I5" s="147"/>
      <c r="J5" s="147"/>
      <c r="K5" s="147"/>
      <c r="L5" s="147"/>
      <c r="M5" s="147"/>
      <c r="N5" s="147"/>
      <c r="O5" s="147"/>
      <c r="P5" s="147"/>
      <c r="Q5" s="161"/>
      <c r="R5" s="161"/>
      <c r="S5" s="161"/>
      <c r="T5" s="161"/>
      <c r="U5" s="161"/>
      <c r="V5" s="161"/>
      <c r="W5" s="161"/>
      <c r="X5" s="161"/>
      <c r="Y5" s="161"/>
      <c r="Z5" s="161"/>
      <c r="AA5" s="161"/>
      <c r="AB5" s="161"/>
      <c r="AC5" s="161"/>
    </row>
    <row r="6" spans="1:29" ht="13" customHeight="1">
      <c r="B6" t="s">
        <v>453</v>
      </c>
      <c r="C6" s="11" t="s">
        <v>105</v>
      </c>
      <c r="D6" s="157">
        <v>1.1000000000000001</v>
      </c>
      <c r="E6" s="158">
        <v>40</v>
      </c>
      <c r="F6" s="158">
        <v>5</v>
      </c>
      <c r="G6" s="158">
        <v>2</v>
      </c>
      <c r="H6" s="147"/>
      <c r="I6" s="147"/>
      <c r="J6" s="147"/>
      <c r="K6" s="147"/>
      <c r="L6" s="147"/>
      <c r="M6" s="147"/>
      <c r="N6" s="147"/>
      <c r="O6" s="147"/>
      <c r="P6" s="147"/>
      <c r="Q6" s="161"/>
      <c r="R6" s="161"/>
      <c r="S6" s="161"/>
      <c r="T6" s="161"/>
      <c r="U6" s="161"/>
      <c r="V6" s="161"/>
      <c r="W6" s="161"/>
      <c r="X6" s="161"/>
      <c r="Y6" s="161"/>
      <c r="Z6" s="161"/>
      <c r="AA6" s="161"/>
      <c r="AB6" s="161"/>
      <c r="AC6" s="161"/>
    </row>
    <row r="7" spans="1:29" ht="13" customHeight="1">
      <c r="B7" t="s">
        <v>454</v>
      </c>
      <c r="C7" s="11" t="s">
        <v>65</v>
      </c>
      <c r="D7" s="157">
        <v>1.5</v>
      </c>
      <c r="E7" s="158" t="s">
        <v>455</v>
      </c>
      <c r="F7" s="158" t="s">
        <v>455</v>
      </c>
      <c r="G7" s="158">
        <v>3</v>
      </c>
      <c r="H7" s="147"/>
      <c r="I7" s="147"/>
      <c r="J7" s="147"/>
      <c r="K7" s="147"/>
      <c r="L7" s="147"/>
      <c r="M7" s="147"/>
      <c r="N7" s="147"/>
      <c r="O7" s="147"/>
      <c r="P7" s="147"/>
      <c r="Q7" s="161"/>
      <c r="R7" s="161"/>
      <c r="S7" s="161"/>
      <c r="T7" s="161"/>
      <c r="U7" s="161"/>
      <c r="V7" s="161"/>
      <c r="W7" s="161"/>
      <c r="X7" s="161"/>
      <c r="Y7" s="161"/>
      <c r="Z7" s="161"/>
      <c r="AA7" s="161"/>
      <c r="AB7" s="161"/>
      <c r="AC7" s="161"/>
    </row>
    <row r="8" spans="1:29" ht="13" customHeight="1">
      <c r="B8" t="s">
        <v>454</v>
      </c>
      <c r="C8" s="11" t="s">
        <v>49</v>
      </c>
      <c r="D8" s="157">
        <v>1.4</v>
      </c>
      <c r="E8" s="158">
        <v>18</v>
      </c>
      <c r="F8" s="158">
        <v>5</v>
      </c>
      <c r="G8" s="158">
        <v>3</v>
      </c>
      <c r="H8" s="147"/>
      <c r="I8" s="147"/>
      <c r="J8" s="147"/>
      <c r="K8" s="147"/>
      <c r="L8" s="147"/>
      <c r="M8" s="147"/>
      <c r="N8" s="147"/>
      <c r="O8" s="147"/>
      <c r="P8" s="147"/>
      <c r="Q8" s="161"/>
      <c r="R8" s="161"/>
      <c r="S8" s="161"/>
      <c r="T8" s="161"/>
      <c r="U8" s="161"/>
      <c r="V8" s="161"/>
      <c r="W8" s="161"/>
      <c r="X8" s="161"/>
      <c r="Y8" s="161"/>
      <c r="Z8" s="161"/>
      <c r="AA8" s="161"/>
      <c r="AB8" s="161"/>
      <c r="AC8" s="161"/>
    </row>
    <row r="9" spans="1:29" ht="13" customHeight="1">
      <c r="B9" t="s">
        <v>456</v>
      </c>
      <c r="C9" s="11"/>
      <c r="E9" s="149"/>
      <c r="F9" s="148"/>
      <c r="G9" s="150"/>
      <c r="H9" s="147"/>
      <c r="I9" s="147"/>
      <c r="J9" s="147"/>
      <c r="K9" s="147"/>
      <c r="L9" s="147"/>
      <c r="M9" s="147"/>
      <c r="N9" s="147"/>
      <c r="O9" s="147"/>
      <c r="P9" s="147"/>
      <c r="Q9" s="161"/>
      <c r="R9" s="161"/>
      <c r="S9" s="161"/>
      <c r="T9" s="161"/>
      <c r="U9" s="161"/>
      <c r="V9" s="161"/>
      <c r="W9" s="161"/>
      <c r="X9" s="161"/>
      <c r="Y9" s="161"/>
      <c r="Z9" s="161"/>
      <c r="AA9" s="161"/>
      <c r="AB9" s="161"/>
      <c r="AC9" s="161"/>
    </row>
    <row r="10" spans="1:29" ht="15">
      <c r="C10" s="11"/>
      <c r="E10" s="149"/>
      <c r="F10" s="148"/>
      <c r="G10" s="150"/>
      <c r="H10" s="147"/>
      <c r="I10" s="147"/>
      <c r="J10" s="147"/>
      <c r="K10" s="147"/>
      <c r="L10" s="147"/>
      <c r="M10" s="147"/>
      <c r="N10" s="147"/>
      <c r="O10" s="147"/>
      <c r="P10" s="147"/>
      <c r="Q10" s="161"/>
      <c r="R10" s="161"/>
      <c r="S10" s="161"/>
      <c r="T10" s="161"/>
      <c r="U10" s="161"/>
      <c r="V10" s="161"/>
      <c r="W10" s="161"/>
      <c r="X10" s="161"/>
      <c r="Y10" s="161"/>
      <c r="Z10" s="161"/>
      <c r="AA10" s="161"/>
      <c r="AB10" s="161"/>
      <c r="AC10" s="161"/>
    </row>
    <row r="11" spans="1:29" ht="15">
      <c r="A11" t="s">
        <v>11</v>
      </c>
      <c r="B11" s="32" t="s">
        <v>457</v>
      </c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147"/>
      <c r="Q11" s="161"/>
      <c r="R11" s="161"/>
      <c r="S11" s="161"/>
      <c r="T11" s="161"/>
      <c r="U11" s="161"/>
      <c r="V11" s="161"/>
      <c r="W11" s="161"/>
      <c r="X11" s="161"/>
      <c r="Y11" s="161"/>
      <c r="Z11" s="161"/>
      <c r="AA11" s="161"/>
      <c r="AB11" s="161"/>
      <c r="AC11" s="161"/>
    </row>
    <row r="12" spans="1:29" ht="15">
      <c r="B12" s="114" t="s">
        <v>12</v>
      </c>
      <c r="C12" s="114" t="s">
        <v>13</v>
      </c>
      <c r="D12" s="114" t="s">
        <v>14</v>
      </c>
      <c r="E12" s="133" t="s">
        <v>19</v>
      </c>
      <c r="F12" s="133" t="s">
        <v>20</v>
      </c>
      <c r="G12" s="133" t="s">
        <v>225</v>
      </c>
      <c r="H12" s="151" t="s">
        <v>458</v>
      </c>
      <c r="I12" s="151" t="s">
        <v>459</v>
      </c>
      <c r="J12" s="151" t="s">
        <v>361</v>
      </c>
      <c r="K12" s="114" t="s">
        <v>451</v>
      </c>
      <c r="L12" s="152" t="s">
        <v>38</v>
      </c>
      <c r="M12" s="152" t="s">
        <v>39</v>
      </c>
      <c r="N12" s="114" t="s">
        <v>452</v>
      </c>
      <c r="O12" s="114" t="s">
        <v>460</v>
      </c>
      <c r="P12" s="159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</row>
    <row r="13" spans="1:29" ht="13" customHeight="1">
      <c r="B13" s="153" t="str">
        <f>'01_Portfolio_Input'!B6</f>
        <v>CIB001</v>
      </c>
      <c r="C13" s="153" t="str">
        <f>'01_Portfolio_Input'!C6</f>
        <v>Helios Steel Group</v>
      </c>
      <c r="D13" s="153" t="str">
        <f>'01_Portfolio_Input'!D6</f>
        <v>Steel</v>
      </c>
      <c r="E13" s="154">
        <f>'01_Portfolio_Input'!I6</f>
        <v>160</v>
      </c>
      <c r="F13" s="154">
        <f>'01_Portfolio_Input'!J6</f>
        <v>6602.87</v>
      </c>
      <c r="G13" s="121">
        <f>SUM('01_Portfolio_Input'!T6:V6)</f>
        <v>12545454.550000001</v>
      </c>
      <c r="H13" s="121">
        <f t="shared" ref="H13:H44" si="0">IFERROR(G13/F13,0)</f>
        <v>1900.0002347464058</v>
      </c>
      <c r="I13" s="155">
        <f>INDEX('05_Sector_Pathways'!$P$34:$P$44,MATCH(D13,'05_Sector_Pathways'!$B$34:$B$44,0))</f>
        <v>1659.124318603371</v>
      </c>
      <c r="J13" s="11">
        <f t="shared" ref="J13:J44" si="1">IFERROR(H13/I13,0)</f>
        <v>1.1451825601265377</v>
      </c>
      <c r="K13" s="153" t="str">
        <f>'01_Portfolio_Input'!Z6</f>
        <v>Limited transition disclosure</v>
      </c>
      <c r="L13" s="156">
        <f>'01_Portfolio_Input'!AB6</f>
        <v>5</v>
      </c>
      <c r="M13" s="156">
        <f>'01_Portfolio_Input'!AC6</f>
        <v>12</v>
      </c>
      <c r="N13" s="156">
        <f>'01_Portfolio_Input'!W6</f>
        <v>3</v>
      </c>
      <c r="O13" s="11" t="str">
        <f>IF(AND(K13=$C$6,L13&gt;=$E$6,M13&lt;=$F$6,N13&lt;=$G$6,J13&lt;=$D$6),$B$6,IF(AND(K13=$C$7,N13&lt;=$G$7,J13&lt;=$D$7),$B$7,IF(AND(K13=$C$8,L13&gt;=$E$8,M13&lt;=$F$8,N13&lt;=$G$8,J13&lt;=$D$8),$B$8,$B$9)))</f>
        <v>Misaligned</v>
      </c>
      <c r="P13" s="11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</row>
    <row r="14" spans="1:29" ht="13" customHeight="1">
      <c r="B14" s="153" t="str">
        <f>'01_Portfolio_Input'!B7</f>
        <v>CIB002</v>
      </c>
      <c r="C14" s="153" t="str">
        <f>'01_Portfolio_Input'!C7</f>
        <v>Aster Energy Holdings</v>
      </c>
      <c r="D14" s="153" t="str">
        <f>'01_Portfolio_Input'!D7</f>
        <v>Oil &amp; Gas</v>
      </c>
      <c r="E14" s="154">
        <f>'01_Portfolio_Input'!I7</f>
        <v>250</v>
      </c>
      <c r="F14" s="154">
        <f>'01_Portfolio_Input'!J7</f>
        <v>5422.22</v>
      </c>
      <c r="G14" s="121">
        <f>SUM('01_Portfolio_Input'!T7:V7)</f>
        <v>13555555.560000001</v>
      </c>
      <c r="H14" s="121">
        <f t="shared" si="0"/>
        <v>2500.0010254102563</v>
      </c>
      <c r="I14" s="155">
        <f>INDEX('05_Sector_Pathways'!$P$34:$P$44,MATCH(D14,'05_Sector_Pathways'!$B$34:$B$44,0))</f>
        <v>1498.9082088914213</v>
      </c>
      <c r="J14" s="11">
        <f t="shared" si="1"/>
        <v>1.6678813356150968</v>
      </c>
      <c r="K14" s="153" t="str">
        <f>'01_Portfolio_Input'!Z7</f>
        <v>Limited transition disclosure</v>
      </c>
      <c r="L14" s="156">
        <f>'01_Portfolio_Input'!AB7</f>
        <v>5</v>
      </c>
      <c r="M14" s="156">
        <f>'01_Portfolio_Input'!AC7</f>
        <v>35</v>
      </c>
      <c r="N14" s="156">
        <f>'01_Portfolio_Input'!W7</f>
        <v>4</v>
      </c>
      <c r="O14" s="11" t="str">
        <f t="shared" ref="O14:O72" si="2">IF(AND(K14=$C$6,L14&gt;=$E$6,M14&lt;=$F$6,N14&lt;=$G$6,J14&lt;=$D$6),$B$6,IF(AND(K14=$C$7,N14&lt;=$G$7,J14&lt;=$D$7),$B$7,IF(AND(K14=$C$8,L14&gt;=$E$8,M14&lt;=$F$8,N14&lt;=$G$8,J14&lt;=$D$8),$B$8,$B$9)))</f>
        <v>Misaligned</v>
      </c>
      <c r="P14" s="11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</row>
    <row r="15" spans="1:29" ht="13" customHeight="1">
      <c r="B15" s="153" t="str">
        <f>'01_Portfolio_Input'!B8</f>
        <v>CIB003</v>
      </c>
      <c r="C15" s="153" t="str">
        <f>'01_Portfolio_Input'!C8</f>
        <v>Orion Grid Infrastructure</v>
      </c>
      <c r="D15" s="153" t="str">
        <f>'01_Portfolio_Input'!D8</f>
        <v>Power &amp; Utilities</v>
      </c>
      <c r="E15" s="154">
        <f>'01_Portfolio_Input'!I8</f>
        <v>210</v>
      </c>
      <c r="F15" s="154">
        <f>'01_Portfolio_Input'!J8</f>
        <v>9062.5</v>
      </c>
      <c r="G15" s="121">
        <f>SUM('01_Portfolio_Input'!T8:V8)</f>
        <v>14500000</v>
      </c>
      <c r="H15" s="121">
        <f t="shared" si="0"/>
        <v>1600</v>
      </c>
      <c r="I15" s="155">
        <f>INDEX('05_Sector_Pathways'!$P$34:$P$44,MATCH(D15,'05_Sector_Pathways'!$B$34:$B$44,0))</f>
        <v>1540.8041187971662</v>
      </c>
      <c r="J15" s="11">
        <f t="shared" si="1"/>
        <v>1.0384188233148319</v>
      </c>
      <c r="K15" s="153" t="str">
        <f>'01_Portfolio_Input'!Z8</f>
        <v>Partial transition plan</v>
      </c>
      <c r="L15" s="156">
        <f>'01_Portfolio_Input'!AB8</f>
        <v>18</v>
      </c>
      <c r="M15" s="156">
        <f>'01_Portfolio_Input'!AC8</f>
        <v>2</v>
      </c>
      <c r="N15" s="156">
        <f>'01_Portfolio_Input'!W8</f>
        <v>2</v>
      </c>
      <c r="O15" s="11" t="str">
        <f t="shared" si="2"/>
        <v>Partially aligned</v>
      </c>
      <c r="P15" s="11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</row>
    <row r="16" spans="1:29" ht="13" customHeight="1">
      <c r="B16" s="153" t="str">
        <f>'01_Portfolio_Input'!B9</f>
        <v>CIB004</v>
      </c>
      <c r="C16" s="153" t="str">
        <f>'01_Portfolio_Input'!C9</f>
        <v>Nova Cement Materials</v>
      </c>
      <c r="D16" s="153" t="str">
        <f>'01_Portfolio_Input'!D9</f>
        <v>Cement</v>
      </c>
      <c r="E16" s="154">
        <f>'01_Portfolio_Input'!I9</f>
        <v>120</v>
      </c>
      <c r="F16" s="154">
        <f>'01_Portfolio_Input'!J9</f>
        <v>4909.09</v>
      </c>
      <c r="G16" s="121">
        <f>SUM('01_Portfolio_Input'!T9:V9)</f>
        <v>10800000</v>
      </c>
      <c r="H16" s="121">
        <f t="shared" si="0"/>
        <v>2200.0004074074827</v>
      </c>
      <c r="I16" s="155">
        <f>INDEX('05_Sector_Pathways'!$P$34:$P$44,MATCH(D16,'05_Sector_Pathways'!$B$34:$B$44,0))</f>
        <v>1572.5744609388594</v>
      </c>
      <c r="J16" s="11">
        <f t="shared" si="1"/>
        <v>1.3989801195766827</v>
      </c>
      <c r="K16" s="153" t="str">
        <f>'01_Portfolio_Input'!Z9</f>
        <v>Limited transition disclosure</v>
      </c>
      <c r="L16" s="156">
        <f>'01_Portfolio_Input'!AB9</f>
        <v>5</v>
      </c>
      <c r="M16" s="156">
        <f>'01_Portfolio_Input'!AC9</f>
        <v>12</v>
      </c>
      <c r="N16" s="156">
        <f>'01_Portfolio_Input'!W9</f>
        <v>3</v>
      </c>
      <c r="O16" s="11" t="str">
        <f t="shared" si="2"/>
        <v>Misaligned</v>
      </c>
      <c r="P16" s="11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</row>
    <row r="17" spans="2:27" ht="13" customHeight="1">
      <c r="B17" s="153" t="str">
        <f>'01_Portfolio_Input'!B10</f>
        <v>CIB005</v>
      </c>
      <c r="C17" s="153" t="str">
        <f>'01_Portfolio_Input'!C10</f>
        <v>Mariner Aviation Systems</v>
      </c>
      <c r="D17" s="153" t="str">
        <f>'01_Portfolio_Input'!D10</f>
        <v>Aviation</v>
      </c>
      <c r="E17" s="154">
        <f>'01_Portfolio_Input'!I10</f>
        <v>150</v>
      </c>
      <c r="F17" s="154">
        <f>'01_Portfolio_Input'!J10</f>
        <v>4656.8599999999997</v>
      </c>
      <c r="G17" s="121">
        <f>SUM('01_Portfolio_Input'!T10:V10)</f>
        <v>7916666.6600000001</v>
      </c>
      <c r="H17" s="121">
        <f t="shared" si="0"/>
        <v>1700.0010006742743</v>
      </c>
      <c r="I17" s="155">
        <f>INDEX('05_Sector_Pathways'!$P$34:$P$44,MATCH(D17,'05_Sector_Pathways'!$B$34:$B$44,0))</f>
        <v>1270.6760876334054</v>
      </c>
      <c r="J17" s="11">
        <f t="shared" si="1"/>
        <v>1.3378712460391642</v>
      </c>
      <c r="K17" s="153" t="str">
        <f>'01_Portfolio_Input'!Z10</f>
        <v>Limited transition disclosure</v>
      </c>
      <c r="L17" s="156">
        <f>'01_Portfolio_Input'!AB10</f>
        <v>5</v>
      </c>
      <c r="M17" s="156">
        <f>'01_Portfolio_Input'!AC10</f>
        <v>12</v>
      </c>
      <c r="N17" s="156">
        <f>'01_Portfolio_Input'!W10</f>
        <v>4</v>
      </c>
      <c r="O17" s="11" t="str">
        <f t="shared" si="2"/>
        <v>Misaligned</v>
      </c>
      <c r="P17" s="11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</row>
    <row r="18" spans="2:27" ht="13" customHeight="1">
      <c r="B18" s="153" t="str">
        <f>'01_Portfolio_Input'!B11</f>
        <v>CIB006</v>
      </c>
      <c r="C18" s="153" t="str">
        <f>'01_Portfolio_Input'!C11</f>
        <v>BlueHarbor Shipping</v>
      </c>
      <c r="D18" s="153" t="str">
        <f>'01_Portfolio_Input'!D11</f>
        <v>Shipping</v>
      </c>
      <c r="E18" s="154">
        <f>'01_Portfolio_Input'!I11</f>
        <v>160</v>
      </c>
      <c r="F18" s="154">
        <f>'01_Portfolio_Input'!J11</f>
        <v>5297.62</v>
      </c>
      <c r="G18" s="121">
        <f>SUM('01_Portfolio_Input'!T11:V11)</f>
        <v>7416666.6599999992</v>
      </c>
      <c r="H18" s="121">
        <f t="shared" si="0"/>
        <v>1399.999747056225</v>
      </c>
      <c r="I18" s="155">
        <f>INDEX('05_Sector_Pathways'!$P$34:$P$44,MATCH(D18,'05_Sector_Pathways'!$B$34:$B$44,0))</f>
        <v>1358.4109299952452</v>
      </c>
      <c r="J18" s="11">
        <f t="shared" si="1"/>
        <v>1.0306157850637476</v>
      </c>
      <c r="K18" s="153" t="str">
        <f>'01_Portfolio_Input'!Z11</f>
        <v>Partial transition plan</v>
      </c>
      <c r="L18" s="156">
        <f>'01_Portfolio_Input'!AB11</f>
        <v>18</v>
      </c>
      <c r="M18" s="156">
        <f>'01_Portfolio_Input'!AC11</f>
        <v>2</v>
      </c>
      <c r="N18" s="156">
        <f>'01_Portfolio_Input'!W11</f>
        <v>3</v>
      </c>
      <c r="O18" s="11" t="str">
        <f t="shared" si="2"/>
        <v>Partially aligned</v>
      </c>
      <c r="P18" s="11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</row>
    <row r="19" spans="2:27" ht="13" customHeight="1">
      <c r="B19" s="153" t="str">
        <f>'01_Portfolio_Input'!B12</f>
        <v>CIB007</v>
      </c>
      <c r="C19" s="153" t="str">
        <f>'01_Portfolio_Input'!C12</f>
        <v>Caldera Petrochem Industries</v>
      </c>
      <c r="D19" s="153" t="str">
        <f>'01_Portfolio_Input'!D12</f>
        <v>Chemicals</v>
      </c>
      <c r="E19" s="154">
        <f>'01_Portfolio_Input'!I12</f>
        <v>180</v>
      </c>
      <c r="F19" s="154">
        <f>'01_Portfolio_Input'!J12</f>
        <v>7870.37</v>
      </c>
      <c r="G19" s="121">
        <f>SUM('01_Portfolio_Input'!T12:V12)</f>
        <v>9444444.4499999993</v>
      </c>
      <c r="H19" s="121">
        <f t="shared" si="0"/>
        <v>1200.0000571764731</v>
      </c>
      <c r="I19" s="155">
        <f>INDEX('05_Sector_Pathways'!$P$34:$P$44,MATCH(D19,'05_Sector_Pathways'!$B$34:$B$44,0))</f>
        <v>1389.8715350266673</v>
      </c>
      <c r="J19" s="11">
        <f t="shared" si="1"/>
        <v>0.86338918880977644</v>
      </c>
      <c r="K19" s="153" t="str">
        <f>'01_Portfolio_Input'!Z12</f>
        <v>Partial transition plan</v>
      </c>
      <c r="L19" s="156">
        <f>'01_Portfolio_Input'!AB12</f>
        <v>18</v>
      </c>
      <c r="M19" s="156">
        <f>'01_Portfolio_Input'!AC12</f>
        <v>2</v>
      </c>
      <c r="N19" s="156">
        <f>'01_Portfolio_Input'!W12</f>
        <v>3</v>
      </c>
      <c r="O19" s="11" t="str">
        <f t="shared" si="2"/>
        <v>Partially aligned</v>
      </c>
      <c r="P19" s="11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</row>
    <row r="20" spans="2:27" ht="13" customHeight="1">
      <c r="B20" s="153" t="str">
        <f>'01_Portfolio_Input'!B13</f>
        <v>CIB008</v>
      </c>
      <c r="C20" s="153" t="str">
        <f>'01_Portfolio_Input'!C13</f>
        <v>TerraFood Ingredients</v>
      </c>
      <c r="D20" s="153" t="str">
        <f>'01_Portfolio_Input'!D13</f>
        <v>Agriculture &amp; Food</v>
      </c>
      <c r="E20" s="154">
        <f>'01_Portfolio_Input'!I13</f>
        <v>160</v>
      </c>
      <c r="F20" s="154">
        <f>'01_Portfolio_Input'!J13</f>
        <v>8666.67</v>
      </c>
      <c r="G20" s="121">
        <f>SUM('01_Portfolio_Input'!T13:V13)</f>
        <v>7799999.9900000002</v>
      </c>
      <c r="H20" s="121">
        <f t="shared" si="0"/>
        <v>899.99965269244126</v>
      </c>
      <c r="I20" s="155">
        <f>INDEX('05_Sector_Pathways'!$P$34:$P$44,MATCH(D20,'05_Sector_Pathways'!$B$34:$B$44,0))</f>
        <v>1060.8801449123846</v>
      </c>
      <c r="J20" s="11">
        <f t="shared" si="1"/>
        <v>0.84835186803007789</v>
      </c>
      <c r="K20" s="153" t="str">
        <f>'01_Portfolio_Input'!Z13</f>
        <v>Partial transition plan</v>
      </c>
      <c r="L20" s="156">
        <f>'01_Portfolio_Input'!AB13</f>
        <v>18</v>
      </c>
      <c r="M20" s="156">
        <f>'01_Portfolio_Input'!AC13</f>
        <v>2</v>
      </c>
      <c r="N20" s="156">
        <f>'01_Portfolio_Input'!W13</f>
        <v>2</v>
      </c>
      <c r="O20" s="11" t="str">
        <f t="shared" si="2"/>
        <v>Partially aligned</v>
      </c>
      <c r="P20" s="11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</row>
    <row r="21" spans="2:27" ht="13" customHeight="1">
      <c r="B21" s="153" t="str">
        <f>'01_Portfolio_Input'!B14</f>
        <v>CIB009</v>
      </c>
      <c r="C21" s="153" t="str">
        <f>'01_Portfolio_Input'!C14</f>
        <v>VoltEdge Power Assets</v>
      </c>
      <c r="D21" s="153" t="str">
        <f>'01_Portfolio_Input'!D14</f>
        <v>Power &amp; Utilities</v>
      </c>
      <c r="E21" s="154">
        <f>'01_Portfolio_Input'!I14</f>
        <v>175</v>
      </c>
      <c r="F21" s="154">
        <f>'01_Portfolio_Input'!J14</f>
        <v>6015.62</v>
      </c>
      <c r="G21" s="121">
        <f>SUM('01_Portfolio_Input'!T14:V14)</f>
        <v>9625000</v>
      </c>
      <c r="H21" s="121">
        <f t="shared" si="0"/>
        <v>1600.0013298712352</v>
      </c>
      <c r="I21" s="155">
        <f>INDEX('05_Sector_Pathways'!$P$34:$P$44,MATCH(D21,'05_Sector_Pathways'!$B$34:$B$44,0))</f>
        <v>1540.8041187971662</v>
      </c>
      <c r="J21" s="11">
        <f t="shared" si="1"/>
        <v>1.0384196864169091</v>
      </c>
      <c r="K21" s="153" t="str">
        <f>'01_Portfolio_Input'!Z14</f>
        <v>Credible transition plan</v>
      </c>
      <c r="L21" s="156">
        <f>'01_Portfolio_Input'!AB14</f>
        <v>45</v>
      </c>
      <c r="M21" s="156">
        <f>'01_Portfolio_Input'!AC14</f>
        <v>2</v>
      </c>
      <c r="N21" s="156">
        <f>'01_Portfolio_Input'!W14</f>
        <v>2</v>
      </c>
      <c r="O21" s="11" t="str">
        <f t="shared" si="2"/>
        <v>Aligned</v>
      </c>
      <c r="P21" s="11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</row>
    <row r="22" spans="2:27" ht="13" customHeight="1">
      <c r="B22" s="153" t="str">
        <f>'01_Portfolio_Input'!B15</f>
        <v>CIB010</v>
      </c>
      <c r="C22" s="153" t="str">
        <f>'01_Portfolio_Input'!C15</f>
        <v>UrbanCore Properties</v>
      </c>
      <c r="D22" s="153" t="str">
        <f>'01_Portfolio_Input'!D15</f>
        <v>Real Estate</v>
      </c>
      <c r="E22" s="154">
        <f>'01_Portfolio_Input'!I15</f>
        <v>250</v>
      </c>
      <c r="F22" s="154">
        <f>'01_Portfolio_Input'!J15</f>
        <v>46031.75</v>
      </c>
      <c r="G22" s="121">
        <f>SUM('01_Portfolio_Input'!T15:V15)</f>
        <v>8285714.2899999991</v>
      </c>
      <c r="H22" s="121">
        <f t="shared" si="0"/>
        <v>179.99998457586338</v>
      </c>
      <c r="I22" s="155">
        <f>INDEX('05_Sector_Pathways'!$P$34:$P$44,MATCH(D22,'05_Sector_Pathways'!$B$34:$B$44,0))</f>
        <v>686.81283096626294</v>
      </c>
      <c r="J22" s="11">
        <f t="shared" si="1"/>
        <v>0.26208011332960257</v>
      </c>
      <c r="K22" s="153" t="str">
        <f>'01_Portfolio_Input'!Z15</f>
        <v>Credible transition plan</v>
      </c>
      <c r="L22" s="156">
        <f>'01_Portfolio_Input'!AB15</f>
        <v>45</v>
      </c>
      <c r="M22" s="156">
        <f>'01_Portfolio_Input'!AC15</f>
        <v>2</v>
      </c>
      <c r="N22" s="156">
        <f>'01_Portfolio_Input'!W15</f>
        <v>2</v>
      </c>
      <c r="O22" s="11" t="str">
        <f t="shared" si="2"/>
        <v>Aligned</v>
      </c>
      <c r="P22" s="11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</row>
    <row r="23" spans="2:27" ht="13" customHeight="1">
      <c r="B23" s="153" t="str">
        <f>'01_Portfolio_Input'!B16</f>
        <v>CIB011</v>
      </c>
      <c r="C23" s="153" t="str">
        <f>'01_Portfolio_Input'!C16</f>
        <v>Borealis Energy Finance</v>
      </c>
      <c r="D23" s="153" t="str">
        <f>'01_Portfolio_Input'!D16</f>
        <v>Oil &amp; Gas</v>
      </c>
      <c r="E23" s="154">
        <f>'01_Portfolio_Input'!I16</f>
        <v>90</v>
      </c>
      <c r="F23" s="154">
        <f>'01_Portfolio_Input'!J16</f>
        <v>2222.2199999999998</v>
      </c>
      <c r="G23" s="121">
        <f>SUM('01_Portfolio_Input'!T16:V16)</f>
        <v>5555555.5499999998</v>
      </c>
      <c r="H23" s="121">
        <f t="shared" si="0"/>
        <v>2500.0024975024976</v>
      </c>
      <c r="I23" s="155">
        <f>INDEX('05_Sector_Pathways'!$P$34:$P$44,MATCH(D23,'05_Sector_Pathways'!$B$34:$B$44,0))</f>
        <v>1498.9082088914213</v>
      </c>
      <c r="J23" s="11">
        <f t="shared" si="1"/>
        <v>1.6678823177247635</v>
      </c>
      <c r="K23" s="153" t="str">
        <f>'01_Portfolio_Input'!Z16</f>
        <v>Limited transition disclosure</v>
      </c>
      <c r="L23" s="156">
        <f>'01_Portfolio_Input'!AB16</f>
        <v>5</v>
      </c>
      <c r="M23" s="156">
        <f>'01_Portfolio_Input'!AC16</f>
        <v>35</v>
      </c>
      <c r="N23" s="156">
        <f>'01_Portfolio_Input'!W16</f>
        <v>3</v>
      </c>
      <c r="O23" s="11" t="str">
        <f t="shared" si="2"/>
        <v>Misaligned</v>
      </c>
      <c r="P23" s="11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</row>
    <row r="24" spans="2:27" ht="13" customHeight="1">
      <c r="B24" s="153" t="str">
        <f>'01_Portfolio_Input'!B17</f>
        <v>CIB012</v>
      </c>
      <c r="C24" s="153" t="str">
        <f>'01_Portfolio_Input'!C17</f>
        <v>Aquila Midstream Ventures</v>
      </c>
      <c r="D24" s="153" t="str">
        <f>'01_Portfolio_Input'!D17</f>
        <v>Oil &amp; Gas</v>
      </c>
      <c r="E24" s="154">
        <f>'01_Portfolio_Input'!I17</f>
        <v>80</v>
      </c>
      <c r="F24" s="154">
        <f>'01_Portfolio_Input'!J17</f>
        <v>1955.56</v>
      </c>
      <c r="G24" s="121">
        <f>SUM('01_Portfolio_Input'!T17:V17)</f>
        <v>4888888.88</v>
      </c>
      <c r="H24" s="121">
        <f t="shared" si="0"/>
        <v>2499.9943136492871</v>
      </c>
      <c r="I24" s="155">
        <f>INDEX('05_Sector_Pathways'!$P$34:$P$44,MATCH(D24,'05_Sector_Pathways'!$B$34:$B$44,0))</f>
        <v>1498.9082088914213</v>
      </c>
      <c r="J24" s="11">
        <f t="shared" si="1"/>
        <v>1.6678768578485936</v>
      </c>
      <c r="K24" s="153" t="str">
        <f>'01_Portfolio_Input'!Z17</f>
        <v>Limited transition disclosure</v>
      </c>
      <c r="L24" s="156">
        <f>'01_Portfolio_Input'!AB17</f>
        <v>5</v>
      </c>
      <c r="M24" s="156">
        <f>'01_Portfolio_Input'!AC17</f>
        <v>35</v>
      </c>
      <c r="N24" s="156">
        <f>'01_Portfolio_Input'!W17</f>
        <v>3</v>
      </c>
      <c r="O24" s="11" t="str">
        <f t="shared" si="2"/>
        <v>Misaligned</v>
      </c>
      <c r="P24" s="11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</row>
    <row r="25" spans="2:27" ht="13" customHeight="1">
      <c r="B25" s="153" t="str">
        <f>'01_Portfolio_Input'!B18</f>
        <v>CIB013</v>
      </c>
      <c r="C25" s="153" t="str">
        <f>'01_Portfolio_Input'!C18</f>
        <v>NorthSea Energy Services</v>
      </c>
      <c r="D25" s="153" t="str">
        <f>'01_Portfolio_Input'!D18</f>
        <v>Oil &amp; Gas</v>
      </c>
      <c r="E25" s="154">
        <f>'01_Portfolio_Input'!I18</f>
        <v>75</v>
      </c>
      <c r="F25" s="154">
        <f>'01_Portfolio_Input'!J18</f>
        <v>1866.67</v>
      </c>
      <c r="G25" s="121">
        <f>SUM('01_Portfolio_Input'!T18:V18)</f>
        <v>4666666.67</v>
      </c>
      <c r="H25" s="121">
        <f t="shared" si="0"/>
        <v>2499.9955375079685</v>
      </c>
      <c r="I25" s="155">
        <f>INDEX('05_Sector_Pathways'!$P$34:$P$44,MATCH(D25,'05_Sector_Pathways'!$B$34:$B$44,0))</f>
        <v>1498.9082088914213</v>
      </c>
      <c r="J25" s="11">
        <f t="shared" si="1"/>
        <v>1.6678776743486796</v>
      </c>
      <c r="K25" s="153" t="str">
        <f>'01_Portfolio_Input'!Z18</f>
        <v>Limited transition disclosure</v>
      </c>
      <c r="L25" s="156">
        <f>'01_Portfolio_Input'!AB18</f>
        <v>5</v>
      </c>
      <c r="M25" s="156">
        <f>'01_Portfolio_Input'!AC18</f>
        <v>35</v>
      </c>
      <c r="N25" s="156">
        <f>'01_Portfolio_Input'!W18</f>
        <v>3</v>
      </c>
      <c r="O25" s="11" t="str">
        <f t="shared" si="2"/>
        <v>Misaligned</v>
      </c>
      <c r="P25" s="11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</row>
    <row r="26" spans="2:27" ht="13" customHeight="1">
      <c r="B26" s="153" t="str">
        <f>'01_Portfolio_Input'!B19</f>
        <v>CIB014</v>
      </c>
      <c r="C26" s="153" t="str">
        <f>'01_Portfolio_Input'!C19</f>
        <v>Sable Hydrocarbon Logistics</v>
      </c>
      <c r="D26" s="153" t="str">
        <f>'01_Portfolio_Input'!D19</f>
        <v>Oil &amp; Gas</v>
      </c>
      <c r="E26" s="154">
        <f>'01_Portfolio_Input'!I19</f>
        <v>70</v>
      </c>
      <c r="F26" s="154">
        <f>'01_Portfolio_Input'!J19</f>
        <v>1600</v>
      </c>
      <c r="G26" s="121">
        <f>SUM('01_Portfolio_Input'!T19:V19)</f>
        <v>4000000</v>
      </c>
      <c r="H26" s="121">
        <f t="shared" si="0"/>
        <v>2500</v>
      </c>
      <c r="I26" s="155">
        <f>INDEX('05_Sector_Pathways'!$P$34:$P$44,MATCH(D26,'05_Sector_Pathways'!$B$34:$B$44,0))</f>
        <v>1498.9082088914213</v>
      </c>
      <c r="J26" s="11">
        <f t="shared" si="1"/>
        <v>1.6678806515103264</v>
      </c>
      <c r="K26" s="153" t="str">
        <f>'01_Portfolio_Input'!Z19</f>
        <v>Limited transition disclosure</v>
      </c>
      <c r="L26" s="156">
        <f>'01_Portfolio_Input'!AB19</f>
        <v>5</v>
      </c>
      <c r="M26" s="156">
        <f>'01_Portfolio_Input'!AC19</f>
        <v>35</v>
      </c>
      <c r="N26" s="156">
        <f>'01_Portfolio_Input'!W19</f>
        <v>3</v>
      </c>
      <c r="O26" s="11" t="str">
        <f t="shared" si="2"/>
        <v>Misaligned</v>
      </c>
      <c r="P26" s="11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</row>
    <row r="27" spans="2:27" ht="13" customHeight="1">
      <c r="B27" s="153" t="str">
        <f>'01_Portfolio_Input'!B20</f>
        <v>CIB015</v>
      </c>
      <c r="C27" s="153" t="str">
        <f>'01_Portfolio_Input'!C20</f>
        <v>Eclipse Energy Partners</v>
      </c>
      <c r="D27" s="153" t="str">
        <f>'01_Portfolio_Input'!D20</f>
        <v>Oil &amp; Gas</v>
      </c>
      <c r="E27" s="154">
        <f>'01_Portfolio_Input'!I20</f>
        <v>75</v>
      </c>
      <c r="F27" s="154">
        <f>'01_Portfolio_Input'!J20</f>
        <v>1600</v>
      </c>
      <c r="G27" s="121">
        <f>SUM('01_Portfolio_Input'!T20:V20)</f>
        <v>4000000</v>
      </c>
      <c r="H27" s="121">
        <f t="shared" si="0"/>
        <v>2500</v>
      </c>
      <c r="I27" s="155">
        <f>INDEX('05_Sector_Pathways'!$P$34:$P$44,MATCH(D27,'05_Sector_Pathways'!$B$34:$B$44,0))</f>
        <v>1498.9082088914213</v>
      </c>
      <c r="J27" s="11">
        <f t="shared" si="1"/>
        <v>1.6678806515103264</v>
      </c>
      <c r="K27" s="153" t="str">
        <f>'01_Portfolio_Input'!Z20</f>
        <v>Limited transition disclosure</v>
      </c>
      <c r="L27" s="156">
        <f>'01_Portfolio_Input'!AB20</f>
        <v>5</v>
      </c>
      <c r="M27" s="156">
        <f>'01_Portfolio_Input'!AC20</f>
        <v>35</v>
      </c>
      <c r="N27" s="156">
        <f>'01_Portfolio_Input'!W20</f>
        <v>3</v>
      </c>
      <c r="O27" s="11" t="str">
        <f t="shared" si="2"/>
        <v>Misaligned</v>
      </c>
      <c r="P27" s="11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</row>
    <row r="28" spans="2:27" ht="13" customHeight="1">
      <c r="B28" s="153" t="str">
        <f>'01_Portfolio_Input'!B21</f>
        <v>CIB016</v>
      </c>
      <c r="C28" s="153" t="str">
        <f>'01_Portfolio_Input'!C21</f>
        <v>Aurora Renewables Platform</v>
      </c>
      <c r="D28" s="153" t="str">
        <f>'01_Portfolio_Input'!D21</f>
        <v>Power &amp; Utilities</v>
      </c>
      <c r="E28" s="154">
        <f>'01_Portfolio_Input'!I21</f>
        <v>33.880000000000003</v>
      </c>
      <c r="F28" s="154">
        <f>'01_Portfolio_Input'!J21</f>
        <v>3906.25</v>
      </c>
      <c r="G28" s="121">
        <f>SUM('01_Portfolio_Input'!T21:V21)</f>
        <v>6250000.0100000007</v>
      </c>
      <c r="H28" s="121">
        <f t="shared" si="0"/>
        <v>1600.0000025600002</v>
      </c>
      <c r="I28" s="155">
        <f>INDEX('05_Sector_Pathways'!$P$34:$P$44,MATCH(D28,'05_Sector_Pathways'!$B$34:$B$44,0))</f>
        <v>1540.8041187971662</v>
      </c>
      <c r="J28" s="11">
        <f t="shared" si="1"/>
        <v>1.0384188249763022</v>
      </c>
      <c r="K28" s="153" t="str">
        <f>'01_Portfolio_Input'!Z21</f>
        <v>Credible transition plan</v>
      </c>
      <c r="L28" s="156">
        <f>'01_Portfolio_Input'!AB21</f>
        <v>45</v>
      </c>
      <c r="M28" s="156">
        <f>'01_Portfolio_Input'!AC21</f>
        <v>2</v>
      </c>
      <c r="N28" s="156">
        <f>'01_Portfolio_Input'!W21</f>
        <v>2</v>
      </c>
      <c r="O28" s="11" t="str">
        <f t="shared" si="2"/>
        <v>Aligned</v>
      </c>
      <c r="P28" s="11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</row>
    <row r="29" spans="2:27" ht="13" customHeight="1">
      <c r="B29" s="153" t="str">
        <f>'01_Portfolio_Input'!B22</f>
        <v>CIB017</v>
      </c>
      <c r="C29" s="153" t="str">
        <f>'01_Portfolio_Input'!C22</f>
        <v>Riverton Grid Networks</v>
      </c>
      <c r="D29" s="153" t="str">
        <f>'01_Portfolio_Input'!D22</f>
        <v>Power &amp; Utilities</v>
      </c>
      <c r="E29" s="154">
        <f>'01_Portfolio_Input'!I22</f>
        <v>60.64</v>
      </c>
      <c r="F29" s="154">
        <f>'01_Portfolio_Input'!J22</f>
        <v>781.25</v>
      </c>
      <c r="G29" s="121">
        <f>SUM('01_Portfolio_Input'!T22:V22)</f>
        <v>1250000</v>
      </c>
      <c r="H29" s="121">
        <f t="shared" si="0"/>
        <v>1600</v>
      </c>
      <c r="I29" s="155">
        <f>INDEX('05_Sector_Pathways'!$P$34:$P$44,MATCH(D29,'05_Sector_Pathways'!$B$34:$B$44,0))</f>
        <v>1540.8041187971662</v>
      </c>
      <c r="J29" s="11">
        <f t="shared" si="1"/>
        <v>1.0384188233148319</v>
      </c>
      <c r="K29" s="153" t="str">
        <f>'01_Portfolio_Input'!Z22</f>
        <v>Partial transition plan</v>
      </c>
      <c r="L29" s="156">
        <f>'01_Portfolio_Input'!AB22</f>
        <v>18</v>
      </c>
      <c r="M29" s="156">
        <f>'01_Portfolio_Input'!AC22</f>
        <v>2</v>
      </c>
      <c r="N29" s="156">
        <f>'01_Portfolio_Input'!W22</f>
        <v>3</v>
      </c>
      <c r="O29" s="11" t="str">
        <f t="shared" si="2"/>
        <v>Partially aligned</v>
      </c>
      <c r="P29" s="11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</row>
    <row r="30" spans="2:27" ht="13" customHeight="1">
      <c r="B30" s="153" t="str">
        <f>'01_Portfolio_Input'!B23</f>
        <v>CIB018</v>
      </c>
      <c r="C30" s="153" t="str">
        <f>'01_Portfolio_Input'!C23</f>
        <v>Solstice Thermal Assets</v>
      </c>
      <c r="D30" s="153" t="str">
        <f>'01_Portfolio_Input'!D23</f>
        <v>Power &amp; Utilities</v>
      </c>
      <c r="E30" s="154">
        <f>'01_Portfolio_Input'!I23</f>
        <v>55</v>
      </c>
      <c r="F30" s="154">
        <f>'01_Portfolio_Input'!J23</f>
        <v>781.25</v>
      </c>
      <c r="G30" s="121">
        <f>SUM('01_Portfolio_Input'!T23:V23)</f>
        <v>1250000</v>
      </c>
      <c r="H30" s="121">
        <f t="shared" si="0"/>
        <v>1600</v>
      </c>
      <c r="I30" s="155">
        <f>INDEX('05_Sector_Pathways'!$P$34:$P$44,MATCH(D30,'05_Sector_Pathways'!$B$34:$B$44,0))</f>
        <v>1540.8041187971662</v>
      </c>
      <c r="J30" s="11">
        <f t="shared" si="1"/>
        <v>1.0384188233148319</v>
      </c>
      <c r="K30" s="153" t="str">
        <f>'01_Portfolio_Input'!Z23</f>
        <v>Limited transition disclosure</v>
      </c>
      <c r="L30" s="156">
        <f>'01_Portfolio_Input'!AB23</f>
        <v>18</v>
      </c>
      <c r="M30" s="156">
        <f>'01_Portfolio_Input'!AC23</f>
        <v>2</v>
      </c>
      <c r="N30" s="156">
        <f>'01_Portfolio_Input'!W23</f>
        <v>3</v>
      </c>
      <c r="O30" s="11" t="str">
        <f t="shared" si="2"/>
        <v>Partially aligned</v>
      </c>
      <c r="P30" s="11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</row>
    <row r="31" spans="2:27" ht="13" customHeight="1">
      <c r="B31" s="153" t="str">
        <f>'01_Portfolio_Input'!B24</f>
        <v>CIB019</v>
      </c>
      <c r="C31" s="153" t="str">
        <f>'01_Portfolio_Input'!C24</f>
        <v>Vector Utility Services</v>
      </c>
      <c r="D31" s="153" t="str">
        <f>'01_Portfolio_Input'!D24</f>
        <v>Power &amp; Utilities</v>
      </c>
      <c r="E31" s="154">
        <f>'01_Portfolio_Input'!I24</f>
        <v>52</v>
      </c>
      <c r="F31" s="154">
        <f>'01_Portfolio_Input'!J24</f>
        <v>781.25</v>
      </c>
      <c r="G31" s="121">
        <f>SUM('01_Portfolio_Input'!T24:V24)</f>
        <v>1250000</v>
      </c>
      <c r="H31" s="121">
        <f t="shared" si="0"/>
        <v>1600</v>
      </c>
      <c r="I31" s="155">
        <f>INDEX('05_Sector_Pathways'!$P$34:$P$44,MATCH(D31,'05_Sector_Pathways'!$B$34:$B$44,0))</f>
        <v>1540.8041187971662</v>
      </c>
      <c r="J31" s="11">
        <f t="shared" si="1"/>
        <v>1.0384188233148319</v>
      </c>
      <c r="K31" s="153" t="str">
        <f>'01_Portfolio_Input'!Z24</f>
        <v>Limited transition disclosure</v>
      </c>
      <c r="L31" s="156">
        <f>'01_Portfolio_Input'!AB24</f>
        <v>18</v>
      </c>
      <c r="M31" s="156">
        <f>'01_Portfolio_Input'!AC24</f>
        <v>2</v>
      </c>
      <c r="N31" s="156">
        <f>'01_Portfolio_Input'!W24</f>
        <v>3</v>
      </c>
      <c r="O31" s="11" t="str">
        <f t="shared" si="2"/>
        <v>Partially aligned</v>
      </c>
      <c r="P31" s="11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</row>
    <row r="32" spans="2:27" ht="13" customHeight="1">
      <c r="B32" s="153" t="str">
        <f>'01_Portfolio_Input'!B25</f>
        <v>CIB020</v>
      </c>
      <c r="C32" s="153" t="str">
        <f>'01_Portfolio_Input'!C25</f>
        <v>Canopy Power Distribution</v>
      </c>
      <c r="D32" s="153" t="str">
        <f>'01_Portfolio_Input'!D25</f>
        <v>Power &amp; Utilities</v>
      </c>
      <c r="E32" s="154">
        <f>'01_Portfolio_Input'!I25</f>
        <v>50.76</v>
      </c>
      <c r="F32" s="154">
        <f>'01_Portfolio_Input'!J25</f>
        <v>781.25</v>
      </c>
      <c r="G32" s="121">
        <f>SUM('01_Portfolio_Input'!T25:V25)</f>
        <v>1250000</v>
      </c>
      <c r="H32" s="121">
        <f t="shared" si="0"/>
        <v>1600</v>
      </c>
      <c r="I32" s="155">
        <f>INDEX('05_Sector_Pathways'!$P$34:$P$44,MATCH(D32,'05_Sector_Pathways'!$B$34:$B$44,0))</f>
        <v>1540.8041187971662</v>
      </c>
      <c r="J32" s="11">
        <f t="shared" si="1"/>
        <v>1.0384188233148319</v>
      </c>
      <c r="K32" s="153" t="str">
        <f>'01_Portfolio_Input'!Z25</f>
        <v>Limited transition disclosure</v>
      </c>
      <c r="L32" s="156">
        <f>'01_Portfolio_Input'!AB25</f>
        <v>18</v>
      </c>
      <c r="M32" s="156">
        <f>'01_Portfolio_Input'!AC25</f>
        <v>2</v>
      </c>
      <c r="N32" s="156">
        <f>'01_Portfolio_Input'!W25</f>
        <v>3</v>
      </c>
      <c r="O32" s="11" t="str">
        <f t="shared" si="2"/>
        <v>Partially aligned</v>
      </c>
      <c r="P32" s="11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</row>
    <row r="33" spans="2:27" ht="13" customHeight="1">
      <c r="B33" s="153" t="str">
        <f>'01_Portfolio_Input'!B26</f>
        <v>CIB021</v>
      </c>
      <c r="C33" s="153" t="str">
        <f>'01_Portfolio_Input'!C26</f>
        <v>HarborLight Energy Systems</v>
      </c>
      <c r="D33" s="153" t="str">
        <f>'01_Portfolio_Input'!D26</f>
        <v>Power &amp; Utilities</v>
      </c>
      <c r="E33" s="154">
        <f>'01_Portfolio_Input'!I26</f>
        <v>82.72</v>
      </c>
      <c r="F33" s="154">
        <f>'01_Portfolio_Input'!J26</f>
        <v>250</v>
      </c>
      <c r="G33" s="121">
        <f>SUM('01_Portfolio_Input'!T26:V26)</f>
        <v>125000.01000000001</v>
      </c>
      <c r="H33" s="121">
        <f t="shared" si="0"/>
        <v>500.00004000000001</v>
      </c>
      <c r="I33" s="155">
        <f>INDEX('05_Sector_Pathways'!$P$34:$P$44,MATCH(D33,'05_Sector_Pathways'!$B$34:$B$44,0))</f>
        <v>1540.8041187971662</v>
      </c>
      <c r="J33" s="11">
        <f t="shared" si="1"/>
        <v>0.32450590824635561</v>
      </c>
      <c r="K33" s="153" t="str">
        <f>'01_Portfolio_Input'!Z26</f>
        <v>Limited transition disclosure</v>
      </c>
      <c r="L33" s="156">
        <f>'01_Portfolio_Input'!AB26</f>
        <v>5</v>
      </c>
      <c r="M33" s="156">
        <f>'01_Portfolio_Input'!AC26</f>
        <v>12</v>
      </c>
      <c r="N33" s="156">
        <f>'01_Portfolio_Input'!W26</f>
        <v>4</v>
      </c>
      <c r="O33" s="11" t="str">
        <f t="shared" si="2"/>
        <v>Misaligned</v>
      </c>
      <c r="P33" s="11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</row>
    <row r="34" spans="2:27" ht="13" customHeight="1">
      <c r="B34" s="153" t="str">
        <f>'01_Portfolio_Input'!B27</f>
        <v>CIB022</v>
      </c>
      <c r="C34" s="153" t="str">
        <f>'01_Portfolio_Input'!C27</f>
        <v>ForgeLine Steelworks</v>
      </c>
      <c r="D34" s="153" t="str">
        <f>'01_Portfolio_Input'!D27</f>
        <v>Steel</v>
      </c>
      <c r="E34" s="154">
        <f>'01_Portfolio_Input'!I27</f>
        <v>60</v>
      </c>
      <c r="F34" s="154">
        <f>'01_Portfolio_Input'!J27</f>
        <v>765.55</v>
      </c>
      <c r="G34" s="121">
        <f>SUM('01_Portfolio_Input'!T27:V27)</f>
        <v>1454545.46</v>
      </c>
      <c r="H34" s="121">
        <f t="shared" si="0"/>
        <v>1900.0006008751877</v>
      </c>
      <c r="I34" s="155">
        <f>INDEX('05_Sector_Pathways'!$P$34:$P$44,MATCH(D34,'05_Sector_Pathways'!$B$34:$B$44,0))</f>
        <v>1659.124318603371</v>
      </c>
      <c r="J34" s="11">
        <f t="shared" si="1"/>
        <v>1.1451827808024557</v>
      </c>
      <c r="K34" s="153" t="str">
        <f>'01_Portfolio_Input'!Z27</f>
        <v>Limited transition disclosure</v>
      </c>
      <c r="L34" s="156">
        <f>'01_Portfolio_Input'!AB27</f>
        <v>5</v>
      </c>
      <c r="M34" s="156">
        <f>'01_Portfolio_Input'!AC27</f>
        <v>12</v>
      </c>
      <c r="N34" s="156">
        <f>'01_Portfolio_Input'!W27</f>
        <v>3</v>
      </c>
      <c r="O34" s="11" t="str">
        <f t="shared" si="2"/>
        <v>Misaligned</v>
      </c>
      <c r="P34" s="11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</row>
    <row r="35" spans="2:27" ht="13" customHeight="1">
      <c r="B35" s="153" t="str">
        <f>'01_Portfolio_Input'!B28</f>
        <v>CIB023</v>
      </c>
      <c r="C35" s="153" t="str">
        <f>'01_Portfolio_Input'!C28</f>
        <v>Atlas Coil Manufacturing</v>
      </c>
      <c r="D35" s="153" t="str">
        <f>'01_Portfolio_Input'!D28</f>
        <v>Steel</v>
      </c>
      <c r="E35" s="154">
        <f>'01_Portfolio_Input'!I28</f>
        <v>55</v>
      </c>
      <c r="F35" s="154">
        <f>'01_Portfolio_Input'!J28</f>
        <v>717.7</v>
      </c>
      <c r="G35" s="121">
        <f>SUM('01_Portfolio_Input'!T28:V28)</f>
        <v>1363636.37</v>
      </c>
      <c r="H35" s="121">
        <f t="shared" si="0"/>
        <v>1900.0088755747527</v>
      </c>
      <c r="I35" s="155">
        <f>INDEX('05_Sector_Pathways'!$P$34:$P$44,MATCH(D35,'05_Sector_Pathways'!$B$34:$B$44,0))</f>
        <v>1659.124318603371</v>
      </c>
      <c r="J35" s="11">
        <f t="shared" si="1"/>
        <v>1.1451877681921721</v>
      </c>
      <c r="K35" s="153" t="str">
        <f>'01_Portfolio_Input'!Z28</f>
        <v>Limited transition disclosure</v>
      </c>
      <c r="L35" s="156">
        <f>'01_Portfolio_Input'!AB28</f>
        <v>5</v>
      </c>
      <c r="M35" s="156">
        <f>'01_Portfolio_Input'!AC28</f>
        <v>12</v>
      </c>
      <c r="N35" s="156">
        <f>'01_Portfolio_Input'!W28</f>
        <v>3</v>
      </c>
      <c r="O35" s="11" t="str">
        <f t="shared" si="2"/>
        <v>Misaligned</v>
      </c>
      <c r="P35" s="11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</row>
    <row r="36" spans="2:27" ht="13" customHeight="1">
      <c r="B36" s="153" t="str">
        <f>'01_Portfolio_Input'!B29</f>
        <v>CIB024</v>
      </c>
      <c r="C36" s="153" t="str">
        <f>'01_Portfolio_Input'!C29</f>
        <v>Mercury Metals Processing</v>
      </c>
      <c r="D36" s="153" t="str">
        <f>'01_Portfolio_Input'!D29</f>
        <v>Steel</v>
      </c>
      <c r="E36" s="154">
        <f>'01_Portfolio_Input'!I29</f>
        <v>55</v>
      </c>
      <c r="F36" s="154">
        <f>'01_Portfolio_Input'!J29</f>
        <v>669.86</v>
      </c>
      <c r="G36" s="121">
        <f>SUM('01_Portfolio_Input'!T29:V29)</f>
        <v>1272727.27</v>
      </c>
      <c r="H36" s="121">
        <f t="shared" si="0"/>
        <v>1899.9899531245335</v>
      </c>
      <c r="I36" s="155">
        <f>INDEX('05_Sector_Pathways'!$P$34:$P$44,MATCH(D36,'05_Sector_Pathways'!$B$34:$B$44,0))</f>
        <v>1659.124318603371</v>
      </c>
      <c r="J36" s="11">
        <f t="shared" si="1"/>
        <v>1.1451763631093781</v>
      </c>
      <c r="K36" s="153" t="str">
        <f>'01_Portfolio_Input'!Z29</f>
        <v>Limited transition disclosure</v>
      </c>
      <c r="L36" s="156">
        <f>'01_Portfolio_Input'!AB29</f>
        <v>5</v>
      </c>
      <c r="M36" s="156">
        <f>'01_Portfolio_Input'!AC29</f>
        <v>12</v>
      </c>
      <c r="N36" s="156">
        <f>'01_Portfolio_Input'!W29</f>
        <v>3</v>
      </c>
      <c r="O36" s="11" t="str">
        <f t="shared" si="2"/>
        <v>Misaligned</v>
      </c>
      <c r="P36" s="11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</row>
    <row r="37" spans="2:27" ht="13" customHeight="1">
      <c r="B37" s="153" t="str">
        <f>'01_Portfolio_Input'!B30</f>
        <v>CIB025</v>
      </c>
      <c r="C37" s="153" t="str">
        <f>'01_Portfolio_Input'!C30</f>
        <v>Granite Steel Components</v>
      </c>
      <c r="D37" s="153" t="str">
        <f>'01_Portfolio_Input'!D30</f>
        <v>Steel</v>
      </c>
      <c r="E37" s="154">
        <f>'01_Portfolio_Input'!I30</f>
        <v>60</v>
      </c>
      <c r="F37" s="154">
        <f>'01_Portfolio_Input'!J30</f>
        <v>717.7</v>
      </c>
      <c r="G37" s="121">
        <f>SUM('01_Portfolio_Input'!T30:V30)</f>
        <v>1363636.37</v>
      </c>
      <c r="H37" s="121">
        <f t="shared" si="0"/>
        <v>1900.0088755747527</v>
      </c>
      <c r="I37" s="155">
        <f>INDEX('05_Sector_Pathways'!$P$34:$P$44,MATCH(D37,'05_Sector_Pathways'!$B$34:$B$44,0))</f>
        <v>1659.124318603371</v>
      </c>
      <c r="J37" s="11">
        <f t="shared" si="1"/>
        <v>1.1451877681921721</v>
      </c>
      <c r="K37" s="153" t="str">
        <f>'01_Portfolio_Input'!Z30</f>
        <v>Limited transition disclosure</v>
      </c>
      <c r="L37" s="156">
        <f>'01_Portfolio_Input'!AB30</f>
        <v>5</v>
      </c>
      <c r="M37" s="156">
        <f>'01_Portfolio_Input'!AC30</f>
        <v>12</v>
      </c>
      <c r="N37" s="156">
        <f>'01_Portfolio_Input'!W30</f>
        <v>3</v>
      </c>
      <c r="O37" s="11" t="str">
        <f t="shared" si="2"/>
        <v>Misaligned</v>
      </c>
      <c r="P37" s="11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</row>
    <row r="38" spans="2:27" ht="13" customHeight="1">
      <c r="B38" s="153" t="str">
        <f>'01_Portfolio_Input'!B31</f>
        <v>CIB026</v>
      </c>
      <c r="C38" s="153" t="str">
        <f>'01_Portfolio_Input'!C31</f>
        <v>Lumen Cement Solutions</v>
      </c>
      <c r="D38" s="153" t="str">
        <f>'01_Portfolio_Input'!D31</f>
        <v>Cement</v>
      </c>
      <c r="E38" s="154">
        <f>'01_Portfolio_Input'!I31</f>
        <v>20</v>
      </c>
      <c r="F38" s="154">
        <f>'01_Portfolio_Input'!J31</f>
        <v>250</v>
      </c>
      <c r="G38" s="121">
        <f>SUM('01_Portfolio_Input'!T31:V31)</f>
        <v>140000.01</v>
      </c>
      <c r="H38" s="121">
        <f t="shared" si="0"/>
        <v>560.00004000000001</v>
      </c>
      <c r="I38" s="155">
        <f>INDEX('05_Sector_Pathways'!$P$34:$P$44,MATCH(D38,'05_Sector_Pathways'!$B$34:$B$44,0))</f>
        <v>1572.5744609388594</v>
      </c>
      <c r="J38" s="11">
        <f t="shared" si="1"/>
        <v>0.35610398992850772</v>
      </c>
      <c r="K38" s="153" t="str">
        <f>'01_Portfolio_Input'!Z31</f>
        <v>Credible transition plan</v>
      </c>
      <c r="L38" s="156">
        <f>'01_Portfolio_Input'!AB31</f>
        <v>45</v>
      </c>
      <c r="M38" s="156">
        <f>'01_Portfolio_Input'!AC31</f>
        <v>2</v>
      </c>
      <c r="N38" s="156">
        <f>'01_Portfolio_Input'!W31</f>
        <v>2</v>
      </c>
      <c r="O38" s="11" t="str">
        <f t="shared" si="2"/>
        <v>Aligned</v>
      </c>
      <c r="P38" s="11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</row>
    <row r="39" spans="2:27" ht="13" customHeight="1">
      <c r="B39" s="153" t="str">
        <f>'01_Portfolio_Input'!B32</f>
        <v>CIB027</v>
      </c>
      <c r="C39" s="153" t="str">
        <f>'01_Portfolio_Input'!C32</f>
        <v>Crestline Building Materials</v>
      </c>
      <c r="D39" s="153" t="str">
        <f>'01_Portfolio_Input'!D32</f>
        <v>Cement</v>
      </c>
      <c r="E39" s="154">
        <f>'01_Portfolio_Input'!I32</f>
        <v>20</v>
      </c>
      <c r="F39" s="154">
        <f>'01_Portfolio_Input'!J32</f>
        <v>250</v>
      </c>
      <c r="G39" s="121">
        <f>SUM('01_Portfolio_Input'!T32:V32)</f>
        <v>260000</v>
      </c>
      <c r="H39" s="121">
        <f t="shared" si="0"/>
        <v>1040</v>
      </c>
      <c r="I39" s="155">
        <f>INDEX('05_Sector_Pathways'!$P$34:$P$44,MATCH(D39,'05_Sector_Pathways'!$B$34:$B$44,0))</f>
        <v>1572.5744609388594</v>
      </c>
      <c r="J39" s="11">
        <f t="shared" si="1"/>
        <v>0.661335934057519</v>
      </c>
      <c r="K39" s="153" t="str">
        <f>'01_Portfolio_Input'!Z32</f>
        <v>Limited transition disclosure</v>
      </c>
      <c r="L39" s="156">
        <f>'01_Portfolio_Input'!AB32</f>
        <v>18</v>
      </c>
      <c r="M39" s="156">
        <f>'01_Portfolio_Input'!AC32</f>
        <v>2</v>
      </c>
      <c r="N39" s="156">
        <f>'01_Portfolio_Input'!W32</f>
        <v>3</v>
      </c>
      <c r="O39" s="11" t="str">
        <f t="shared" si="2"/>
        <v>Partially aligned</v>
      </c>
      <c r="P39" s="11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</row>
    <row r="40" spans="2:27" ht="13" customHeight="1">
      <c r="B40" s="153" t="str">
        <f>'01_Portfolio_Input'!B33</f>
        <v>CIB028</v>
      </c>
      <c r="C40" s="153" t="str">
        <f>'01_Portfolio_Input'!C33</f>
        <v>Pinnacle Clinker Group</v>
      </c>
      <c r="D40" s="153" t="str">
        <f>'01_Portfolio_Input'!D33</f>
        <v>Cement</v>
      </c>
      <c r="E40" s="154">
        <f>'01_Portfolio_Input'!I33</f>
        <v>150</v>
      </c>
      <c r="F40" s="154">
        <f>'01_Portfolio_Input'!J33</f>
        <v>2000</v>
      </c>
      <c r="G40" s="121">
        <f>SUM('01_Portfolio_Input'!T33:V33)</f>
        <v>4400000</v>
      </c>
      <c r="H40" s="121">
        <f t="shared" si="0"/>
        <v>2200</v>
      </c>
      <c r="I40" s="155">
        <f>INDEX('05_Sector_Pathways'!$P$34:$P$44,MATCH(D40,'05_Sector_Pathways'!$B$34:$B$44,0))</f>
        <v>1572.5744609388594</v>
      </c>
      <c r="J40" s="11">
        <f t="shared" si="1"/>
        <v>1.3989798605062902</v>
      </c>
      <c r="K40" s="153" t="str">
        <f>'01_Portfolio_Input'!Z33</f>
        <v>Limited transition disclosure</v>
      </c>
      <c r="L40" s="156">
        <f>'01_Portfolio_Input'!AB33</f>
        <v>5</v>
      </c>
      <c r="M40" s="156">
        <f>'01_Portfolio_Input'!AC33</f>
        <v>12</v>
      </c>
      <c r="N40" s="156">
        <f>'01_Portfolio_Input'!W33</f>
        <v>4</v>
      </c>
      <c r="O40" s="11" t="str">
        <f t="shared" si="2"/>
        <v>Misaligned</v>
      </c>
      <c r="P40" s="11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</row>
    <row r="41" spans="2:27" ht="13" customHeight="1">
      <c r="B41" s="153" t="str">
        <f>'01_Portfolio_Input'!B34</f>
        <v>CIB029</v>
      </c>
      <c r="C41" s="153" t="str">
        <f>'01_Portfolio_Input'!C34</f>
        <v>VeraChem Specialties</v>
      </c>
      <c r="D41" s="153" t="str">
        <f>'01_Portfolio_Input'!D34</f>
        <v>Chemicals</v>
      </c>
      <c r="E41" s="154">
        <f>'01_Portfolio_Input'!I34</f>
        <v>75</v>
      </c>
      <c r="F41" s="154">
        <f>'01_Portfolio_Input'!J34</f>
        <v>1759.26</v>
      </c>
      <c r="G41" s="121">
        <f>SUM('01_Portfolio_Input'!T34:V34)</f>
        <v>2111111.1100000003</v>
      </c>
      <c r="H41" s="121">
        <f t="shared" si="0"/>
        <v>1199.9994941054763</v>
      </c>
      <c r="I41" s="155">
        <f>INDEX('05_Sector_Pathways'!$P$34:$P$44,MATCH(D41,'05_Sector_Pathways'!$B$34:$B$44,0))</f>
        <v>1389.8715350266673</v>
      </c>
      <c r="J41" s="11">
        <f t="shared" si="1"/>
        <v>0.86338878368528649</v>
      </c>
      <c r="K41" s="153" t="str">
        <f>'01_Portfolio_Input'!Z34</f>
        <v>Partial transition plan</v>
      </c>
      <c r="L41" s="156">
        <f>'01_Portfolio_Input'!AB34</f>
        <v>18</v>
      </c>
      <c r="M41" s="156">
        <f>'01_Portfolio_Input'!AC34</f>
        <v>2</v>
      </c>
      <c r="N41" s="156">
        <f>'01_Portfolio_Input'!W34</f>
        <v>3</v>
      </c>
      <c r="O41" s="11" t="str">
        <f t="shared" si="2"/>
        <v>Partially aligned</v>
      </c>
      <c r="P41" s="11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</row>
    <row r="42" spans="2:27" ht="13" customHeight="1">
      <c r="B42" s="153" t="str">
        <f>'01_Portfolio_Input'!B35</f>
        <v>CIB030</v>
      </c>
      <c r="C42" s="153" t="str">
        <f>'01_Portfolio_Input'!C35</f>
        <v>Apex Polymer Materials</v>
      </c>
      <c r="D42" s="153" t="str">
        <f>'01_Portfolio_Input'!D35</f>
        <v>Chemicals</v>
      </c>
      <c r="E42" s="154">
        <f>'01_Portfolio_Input'!I35</f>
        <v>70</v>
      </c>
      <c r="F42" s="154">
        <f>'01_Portfolio_Input'!J35</f>
        <v>1666.67</v>
      </c>
      <c r="G42" s="121">
        <f>SUM('01_Portfolio_Input'!T35:V35)</f>
        <v>2000000.0099999998</v>
      </c>
      <c r="H42" s="121">
        <f t="shared" si="0"/>
        <v>1199.9976060047877</v>
      </c>
      <c r="I42" s="155">
        <f>INDEX('05_Sector_Pathways'!$P$34:$P$44,MATCH(D42,'05_Sector_Pathways'!$B$34:$B$44,0))</f>
        <v>1389.8715350266673</v>
      </c>
      <c r="J42" s="11">
        <f t="shared" si="1"/>
        <v>0.86338742521391632</v>
      </c>
      <c r="K42" s="153" t="str">
        <f>'01_Portfolio_Input'!Z35</f>
        <v>Partial transition plan</v>
      </c>
      <c r="L42" s="156">
        <f>'01_Portfolio_Input'!AB35</f>
        <v>18</v>
      </c>
      <c r="M42" s="156">
        <f>'01_Portfolio_Input'!AC35</f>
        <v>2</v>
      </c>
      <c r="N42" s="156">
        <f>'01_Portfolio_Input'!W35</f>
        <v>3</v>
      </c>
      <c r="O42" s="11" t="str">
        <f t="shared" si="2"/>
        <v>Partially aligned</v>
      </c>
      <c r="P42" s="11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</row>
    <row r="43" spans="2:27" ht="13" customHeight="1">
      <c r="B43" s="153" t="str">
        <f>'01_Portfolio_Input'!B36</f>
        <v>CIB031</v>
      </c>
      <c r="C43" s="153" t="str">
        <f>'01_Portfolio_Input'!C36</f>
        <v>NaturaSolv Industrial Chemicals</v>
      </c>
      <c r="D43" s="153" t="str">
        <f>'01_Portfolio_Input'!D36</f>
        <v>Chemicals</v>
      </c>
      <c r="E43" s="154">
        <f>'01_Portfolio_Input'!I36</f>
        <v>65</v>
      </c>
      <c r="F43" s="154">
        <f>'01_Portfolio_Input'!J36</f>
        <v>1481.48</v>
      </c>
      <c r="G43" s="121">
        <f>SUM('01_Portfolio_Input'!T36:V36)</f>
        <v>1777777.79</v>
      </c>
      <c r="H43" s="121">
        <f t="shared" si="0"/>
        <v>1200.0012082512083</v>
      </c>
      <c r="I43" s="155">
        <f>INDEX('05_Sector_Pathways'!$P$34:$P$44,MATCH(D43,'05_Sector_Pathways'!$B$34:$B$44,0))</f>
        <v>1389.8715350266673</v>
      </c>
      <c r="J43" s="11">
        <f t="shared" si="1"/>
        <v>0.86339001699763851</v>
      </c>
      <c r="K43" s="153" t="str">
        <f>'01_Portfolio_Input'!Z36</f>
        <v>Partial transition plan</v>
      </c>
      <c r="L43" s="156">
        <f>'01_Portfolio_Input'!AB36</f>
        <v>18</v>
      </c>
      <c r="M43" s="156">
        <f>'01_Portfolio_Input'!AC36</f>
        <v>2</v>
      </c>
      <c r="N43" s="156">
        <f>'01_Portfolio_Input'!W36</f>
        <v>3</v>
      </c>
      <c r="O43" s="11" t="str">
        <f t="shared" si="2"/>
        <v>Partially aligned</v>
      </c>
      <c r="P43" s="11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</row>
    <row r="44" spans="2:27" ht="13" customHeight="1">
      <c r="B44" s="153" t="str">
        <f>'01_Portfolio_Input'!B37</f>
        <v>CIB032</v>
      </c>
      <c r="C44" s="153" t="str">
        <f>'01_Portfolio_Input'!C37</f>
        <v>Zenith Coatings Group</v>
      </c>
      <c r="D44" s="153" t="str">
        <f>'01_Portfolio_Input'!D37</f>
        <v>Chemicals</v>
      </c>
      <c r="E44" s="154">
        <f>'01_Portfolio_Input'!I37</f>
        <v>70</v>
      </c>
      <c r="F44" s="154">
        <f>'01_Portfolio_Input'!J37</f>
        <v>1666.67</v>
      </c>
      <c r="G44" s="121">
        <f>SUM('01_Portfolio_Input'!T37:V37)</f>
        <v>2000000.0099999998</v>
      </c>
      <c r="H44" s="121">
        <f t="shared" si="0"/>
        <v>1199.9976060047877</v>
      </c>
      <c r="I44" s="155">
        <f>INDEX('05_Sector_Pathways'!$P$34:$P$44,MATCH(D44,'05_Sector_Pathways'!$B$34:$B$44,0))</f>
        <v>1389.8715350266673</v>
      </c>
      <c r="J44" s="11">
        <f t="shared" si="1"/>
        <v>0.86338742521391632</v>
      </c>
      <c r="K44" s="153" t="str">
        <f>'01_Portfolio_Input'!Z37</f>
        <v>Partial transition plan</v>
      </c>
      <c r="L44" s="156">
        <f>'01_Portfolio_Input'!AB37</f>
        <v>18</v>
      </c>
      <c r="M44" s="156">
        <f>'01_Portfolio_Input'!AC37</f>
        <v>2</v>
      </c>
      <c r="N44" s="156">
        <f>'01_Portfolio_Input'!W37</f>
        <v>3</v>
      </c>
      <c r="O44" s="11" t="str">
        <f t="shared" si="2"/>
        <v>Partially aligned</v>
      </c>
      <c r="P44" s="11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</row>
    <row r="45" spans="2:27" ht="13" customHeight="1">
      <c r="B45" s="153" t="str">
        <f>'01_Portfolio_Input'!B38</f>
        <v>CIB033</v>
      </c>
      <c r="C45" s="153" t="str">
        <f>'01_Portfolio_Input'!C38</f>
        <v>SkyBridge Leasing Platform</v>
      </c>
      <c r="D45" s="153" t="str">
        <f>'01_Portfolio_Input'!D38</f>
        <v>Aviation</v>
      </c>
      <c r="E45" s="154">
        <f>'01_Portfolio_Input'!I38</f>
        <v>20</v>
      </c>
      <c r="F45" s="154">
        <f>'01_Portfolio_Input'!J38</f>
        <v>250</v>
      </c>
      <c r="G45" s="121">
        <f>SUM('01_Portfolio_Input'!T38:V38)</f>
        <v>218333.33000000002</v>
      </c>
      <c r="H45" s="121">
        <f t="shared" ref="H45:H72" si="3">IFERROR(G45/F45,0)</f>
        <v>873.33332000000007</v>
      </c>
      <c r="I45" s="155">
        <f>INDEX('05_Sector_Pathways'!$P$34:$P$44,MATCH(D45,'05_Sector_Pathways'!$B$34:$B$44,0))</f>
        <v>1270.6760876334054</v>
      </c>
      <c r="J45" s="11">
        <f t="shared" ref="J45:J72" si="4">IFERROR(H45/I45,0)</f>
        <v>0.68729814663196831</v>
      </c>
      <c r="K45" s="153" t="str">
        <f>'01_Portfolio_Input'!Z38</f>
        <v>Credible transition plan</v>
      </c>
      <c r="L45" s="156">
        <f>'01_Portfolio_Input'!AB38</f>
        <v>45</v>
      </c>
      <c r="M45" s="156">
        <f>'01_Portfolio_Input'!AC38</f>
        <v>2</v>
      </c>
      <c r="N45" s="156">
        <f>'01_Portfolio_Input'!W38</f>
        <v>2</v>
      </c>
      <c r="O45" s="11" t="str">
        <f t="shared" si="2"/>
        <v>Aligned</v>
      </c>
      <c r="P45" s="11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</row>
    <row r="46" spans="2:27" ht="13" customHeight="1">
      <c r="B46" s="153" t="str">
        <f>'01_Portfolio_Input'!B39</f>
        <v>CIB034</v>
      </c>
      <c r="C46" s="153" t="str">
        <f>'01_Portfolio_Input'!C39</f>
        <v>AeroNova Services</v>
      </c>
      <c r="D46" s="153" t="str">
        <f>'01_Portfolio_Input'!D39</f>
        <v>Aviation</v>
      </c>
      <c r="E46" s="154">
        <f>'01_Portfolio_Input'!I39</f>
        <v>30</v>
      </c>
      <c r="F46" s="154">
        <f>'01_Portfolio_Input'!J39</f>
        <v>1312.75</v>
      </c>
      <c r="G46" s="121">
        <f>SUM('01_Portfolio_Input'!T39:V39)</f>
        <v>2231666.66</v>
      </c>
      <c r="H46" s="121">
        <f t="shared" si="3"/>
        <v>1699.9936469243955</v>
      </c>
      <c r="I46" s="155">
        <f>INDEX('05_Sector_Pathways'!$P$34:$P$44,MATCH(D46,'05_Sector_Pathways'!$B$34:$B$44,0))</f>
        <v>1270.6760876334054</v>
      </c>
      <c r="J46" s="11">
        <f t="shared" si="4"/>
        <v>1.3378654587657983</v>
      </c>
      <c r="K46" s="153" t="str">
        <f>'01_Portfolio_Input'!Z39</f>
        <v>Limited transition disclosure</v>
      </c>
      <c r="L46" s="156">
        <f>'01_Portfolio_Input'!AB39</f>
        <v>18</v>
      </c>
      <c r="M46" s="156">
        <f>'01_Portfolio_Input'!AC39</f>
        <v>2</v>
      </c>
      <c r="N46" s="156">
        <f>'01_Portfolio_Input'!W39</f>
        <v>3</v>
      </c>
      <c r="O46" s="11" t="str">
        <f t="shared" si="2"/>
        <v>Partially aligned</v>
      </c>
      <c r="P46" s="11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</row>
    <row r="47" spans="2:27" ht="13" customHeight="1">
      <c r="B47" s="153" t="str">
        <f>'01_Portfolio_Input'!B40</f>
        <v>CIB035</v>
      </c>
      <c r="C47" s="153" t="str">
        <f>'01_Portfolio_Input'!C40</f>
        <v>Nimbus Fleet Holdings</v>
      </c>
      <c r="D47" s="153" t="str">
        <f>'01_Portfolio_Input'!D40</f>
        <v>Aviation</v>
      </c>
      <c r="E47" s="154">
        <f>'01_Portfolio_Input'!I40</f>
        <v>135</v>
      </c>
      <c r="F47" s="154">
        <f>'01_Portfolio_Input'!J40</f>
        <v>250</v>
      </c>
      <c r="G47" s="121">
        <f>SUM('01_Portfolio_Input'!T40:V40)</f>
        <v>133333.34</v>
      </c>
      <c r="H47" s="121">
        <f t="shared" si="3"/>
        <v>533.33335999999997</v>
      </c>
      <c r="I47" s="155">
        <f>INDEX('05_Sector_Pathways'!$P$34:$P$44,MATCH(D47,'05_Sector_Pathways'!$B$34:$B$44,0))</f>
        <v>1270.6760876334054</v>
      </c>
      <c r="J47" s="11">
        <f t="shared" si="4"/>
        <v>0.41972408640609327</v>
      </c>
      <c r="K47" s="153" t="str">
        <f>'01_Portfolio_Input'!Z40</f>
        <v>Limited transition disclosure</v>
      </c>
      <c r="L47" s="156">
        <f>'01_Portfolio_Input'!AB40</f>
        <v>5</v>
      </c>
      <c r="M47" s="156">
        <f>'01_Portfolio_Input'!AC40</f>
        <v>12</v>
      </c>
      <c r="N47" s="156">
        <f>'01_Portfolio_Input'!W40</f>
        <v>4</v>
      </c>
      <c r="O47" s="11" t="str">
        <f t="shared" si="2"/>
        <v>Misaligned</v>
      </c>
      <c r="P47" s="11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</row>
    <row r="48" spans="2:27" ht="13" customHeight="1">
      <c r="B48" s="153" t="str">
        <f>'01_Portfolio_Input'!B41</f>
        <v>CIB036</v>
      </c>
      <c r="C48" s="153" t="str">
        <f>'01_Portfolio_Input'!C41</f>
        <v>OceanGate Vessel Finance</v>
      </c>
      <c r="D48" s="153" t="str">
        <f>'01_Portfolio_Input'!D41</f>
        <v>Shipping</v>
      </c>
      <c r="E48" s="154">
        <f>'01_Portfolio_Input'!I41</f>
        <v>60</v>
      </c>
      <c r="F48" s="154">
        <f>'01_Portfolio_Input'!J41</f>
        <v>297.62</v>
      </c>
      <c r="G48" s="121">
        <f>SUM('01_Portfolio_Input'!T41:V41)</f>
        <v>416666.66000000003</v>
      </c>
      <c r="H48" s="121">
        <f t="shared" si="3"/>
        <v>1399.9954976144077</v>
      </c>
      <c r="I48" s="155">
        <f>INDEX('05_Sector_Pathways'!$P$34:$P$44,MATCH(D48,'05_Sector_Pathways'!$B$34:$B$44,0))</f>
        <v>1358.4109299952452</v>
      </c>
      <c r="J48" s="11">
        <f t="shared" si="4"/>
        <v>1.030612656819029</v>
      </c>
      <c r="K48" s="153" t="str">
        <f>'01_Portfolio_Input'!Z41</f>
        <v>Partial transition plan</v>
      </c>
      <c r="L48" s="156">
        <f>'01_Portfolio_Input'!AB41</f>
        <v>18</v>
      </c>
      <c r="M48" s="156">
        <f>'01_Portfolio_Input'!AC41</f>
        <v>2</v>
      </c>
      <c r="N48" s="156">
        <f>'01_Portfolio_Input'!W41</f>
        <v>3</v>
      </c>
      <c r="O48" s="11" t="str">
        <f t="shared" si="2"/>
        <v>Partially aligned</v>
      </c>
      <c r="P48" s="11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</row>
    <row r="49" spans="2:27" ht="13" customHeight="1">
      <c r="B49" s="153" t="str">
        <f>'01_Portfolio_Input'!B42</f>
        <v>CIB037</v>
      </c>
      <c r="C49" s="153" t="str">
        <f>'01_Portfolio_Input'!C42</f>
        <v>Triton Maritime Logistics</v>
      </c>
      <c r="D49" s="153" t="str">
        <f>'01_Portfolio_Input'!D42</f>
        <v>Shipping</v>
      </c>
      <c r="E49" s="154">
        <f>'01_Portfolio_Input'!I42</f>
        <v>55</v>
      </c>
      <c r="F49" s="154">
        <f>'01_Portfolio_Input'!J42</f>
        <v>297.62</v>
      </c>
      <c r="G49" s="121">
        <f>SUM('01_Portfolio_Input'!T42:V42)</f>
        <v>416666.66000000003</v>
      </c>
      <c r="H49" s="121">
        <f t="shared" si="3"/>
        <v>1399.9954976144077</v>
      </c>
      <c r="I49" s="155">
        <f>INDEX('05_Sector_Pathways'!$P$34:$P$44,MATCH(D49,'05_Sector_Pathways'!$B$34:$B$44,0))</f>
        <v>1358.4109299952452</v>
      </c>
      <c r="J49" s="11">
        <f t="shared" si="4"/>
        <v>1.030612656819029</v>
      </c>
      <c r="K49" s="153" t="str">
        <f>'01_Portfolio_Input'!Z42</f>
        <v>Partial transition plan</v>
      </c>
      <c r="L49" s="156">
        <f>'01_Portfolio_Input'!AB42</f>
        <v>18</v>
      </c>
      <c r="M49" s="156">
        <f>'01_Portfolio_Input'!AC42</f>
        <v>2</v>
      </c>
      <c r="N49" s="156">
        <f>'01_Portfolio_Input'!W42</f>
        <v>3</v>
      </c>
      <c r="O49" s="11" t="str">
        <f t="shared" si="2"/>
        <v>Partially aligned</v>
      </c>
      <c r="P49" s="11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</row>
    <row r="50" spans="2:27" ht="13" customHeight="1">
      <c r="B50" s="153" t="str">
        <f>'01_Portfolio_Input'!B43</f>
        <v>CIB038</v>
      </c>
      <c r="C50" s="153" t="str">
        <f>'01_Portfolio_Input'!C43</f>
        <v>Portside Freight Carriers</v>
      </c>
      <c r="D50" s="153" t="str">
        <f>'01_Portfolio_Input'!D43</f>
        <v>Shipping</v>
      </c>
      <c r="E50" s="154">
        <f>'01_Portfolio_Input'!I43</f>
        <v>55</v>
      </c>
      <c r="F50" s="154">
        <f>'01_Portfolio_Input'!J43</f>
        <v>297.62</v>
      </c>
      <c r="G50" s="121">
        <f>SUM('01_Portfolio_Input'!T43:V43)</f>
        <v>416666.66000000003</v>
      </c>
      <c r="H50" s="121">
        <f t="shared" si="3"/>
        <v>1399.9954976144077</v>
      </c>
      <c r="I50" s="155">
        <f>INDEX('05_Sector_Pathways'!$P$34:$P$44,MATCH(D50,'05_Sector_Pathways'!$B$34:$B$44,0))</f>
        <v>1358.4109299952452</v>
      </c>
      <c r="J50" s="11">
        <f t="shared" si="4"/>
        <v>1.030612656819029</v>
      </c>
      <c r="K50" s="153" t="str">
        <f>'01_Portfolio_Input'!Z43</f>
        <v>Partial transition plan</v>
      </c>
      <c r="L50" s="156">
        <f>'01_Portfolio_Input'!AB43</f>
        <v>18</v>
      </c>
      <c r="M50" s="156">
        <f>'01_Portfolio_Input'!AC43</f>
        <v>2</v>
      </c>
      <c r="N50" s="156">
        <f>'01_Portfolio_Input'!W43</f>
        <v>3</v>
      </c>
      <c r="O50" s="11" t="str">
        <f t="shared" si="2"/>
        <v>Partially aligned</v>
      </c>
      <c r="P50" s="11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</row>
    <row r="51" spans="2:27" ht="13" customHeight="1">
      <c r="B51" s="153" t="str">
        <f>'01_Portfolio_Input'!B44</f>
        <v>CIB039</v>
      </c>
      <c r="C51" s="153" t="str">
        <f>'01_Portfolio_Input'!C44</f>
        <v>EonDrive Components</v>
      </c>
      <c r="D51" s="153" t="str">
        <f>'01_Portfolio_Input'!D44</f>
        <v>Automotive</v>
      </c>
      <c r="E51" s="154">
        <f>'01_Portfolio_Input'!I44</f>
        <v>100</v>
      </c>
      <c r="F51" s="154">
        <f>'01_Portfolio_Input'!J44</f>
        <v>2352.94</v>
      </c>
      <c r="G51" s="121">
        <f>SUM('01_Portfolio_Input'!T44:V44)</f>
        <v>2000000</v>
      </c>
      <c r="H51" s="121">
        <f t="shared" si="3"/>
        <v>850.00042500021243</v>
      </c>
      <c r="I51" s="155">
        <f>INDEX('05_Sector_Pathways'!$P$34:$P$44,MATCH(D51,'05_Sector_Pathways'!$B$34:$B$44,0))</f>
        <v>1014.1106846412933</v>
      </c>
      <c r="J51" s="11">
        <f t="shared" si="4"/>
        <v>0.838173226920364</v>
      </c>
      <c r="K51" s="153" t="str">
        <f>'01_Portfolio_Input'!Z44</f>
        <v>Credible transition plan</v>
      </c>
      <c r="L51" s="156">
        <f>'01_Portfolio_Input'!AB44</f>
        <v>45</v>
      </c>
      <c r="M51" s="156">
        <f>'01_Portfolio_Input'!AC44</f>
        <v>2</v>
      </c>
      <c r="N51" s="156">
        <f>'01_Portfolio_Input'!W44</f>
        <v>2</v>
      </c>
      <c r="O51" s="11" t="str">
        <f t="shared" si="2"/>
        <v>Aligned</v>
      </c>
      <c r="P51" s="11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</row>
    <row r="52" spans="2:27" ht="13" customHeight="1">
      <c r="B52" s="153" t="str">
        <f>'01_Portfolio_Input'!B45</f>
        <v>CIB040</v>
      </c>
      <c r="C52" s="153" t="str">
        <f>'01_Portfolio_Input'!C45</f>
        <v>ArcMotion Mobility</v>
      </c>
      <c r="D52" s="153" t="str">
        <f>'01_Portfolio_Input'!D45</f>
        <v>Automotive</v>
      </c>
      <c r="E52" s="154">
        <f>'01_Portfolio_Input'!I45</f>
        <v>100</v>
      </c>
      <c r="F52" s="154">
        <f>'01_Portfolio_Input'!J45</f>
        <v>2352.94</v>
      </c>
      <c r="G52" s="121">
        <f>SUM('01_Portfolio_Input'!T45:V45)</f>
        <v>2000000</v>
      </c>
      <c r="H52" s="121">
        <f t="shared" si="3"/>
        <v>850.00042500021243</v>
      </c>
      <c r="I52" s="155">
        <f>INDEX('05_Sector_Pathways'!$P$34:$P$44,MATCH(D52,'05_Sector_Pathways'!$B$34:$B$44,0))</f>
        <v>1014.1106846412933</v>
      </c>
      <c r="J52" s="11">
        <f t="shared" si="4"/>
        <v>0.838173226920364</v>
      </c>
      <c r="K52" s="153" t="str">
        <f>'01_Portfolio_Input'!Z45</f>
        <v>Credible transition plan</v>
      </c>
      <c r="L52" s="156">
        <f>'01_Portfolio_Input'!AB45</f>
        <v>45</v>
      </c>
      <c r="M52" s="156">
        <f>'01_Portfolio_Input'!AC45</f>
        <v>2</v>
      </c>
      <c r="N52" s="156">
        <f>'01_Portfolio_Input'!W45</f>
        <v>2</v>
      </c>
      <c r="O52" s="11" t="str">
        <f t="shared" si="2"/>
        <v>Aligned</v>
      </c>
      <c r="P52" s="11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</row>
    <row r="53" spans="2:27" ht="13" customHeight="1">
      <c r="B53" s="153" t="str">
        <f>'01_Portfolio_Input'!B46</f>
        <v>CIB041</v>
      </c>
      <c r="C53" s="153" t="str">
        <f>'01_Portfolio_Input'!C46</f>
        <v>PrimeVolt Battery Systems</v>
      </c>
      <c r="D53" s="153" t="str">
        <f>'01_Portfolio_Input'!D46</f>
        <v>Automotive</v>
      </c>
      <c r="E53" s="154">
        <f>'01_Portfolio_Input'!I46</f>
        <v>100</v>
      </c>
      <c r="F53" s="154">
        <f>'01_Portfolio_Input'!J46</f>
        <v>2352.94</v>
      </c>
      <c r="G53" s="121">
        <f>SUM('01_Portfolio_Input'!T46:V46)</f>
        <v>2000000</v>
      </c>
      <c r="H53" s="121">
        <f t="shared" si="3"/>
        <v>850.00042500021243</v>
      </c>
      <c r="I53" s="155">
        <f>INDEX('05_Sector_Pathways'!$P$34:$P$44,MATCH(D53,'05_Sector_Pathways'!$B$34:$B$44,0))</f>
        <v>1014.1106846412933</v>
      </c>
      <c r="J53" s="11">
        <f t="shared" si="4"/>
        <v>0.838173226920364</v>
      </c>
      <c r="K53" s="153" t="str">
        <f>'01_Portfolio_Input'!Z46</f>
        <v>Credible transition plan</v>
      </c>
      <c r="L53" s="156">
        <f>'01_Portfolio_Input'!AB46</f>
        <v>45</v>
      </c>
      <c r="M53" s="156">
        <f>'01_Portfolio_Input'!AC46</f>
        <v>2</v>
      </c>
      <c r="N53" s="156">
        <f>'01_Portfolio_Input'!W46</f>
        <v>2</v>
      </c>
      <c r="O53" s="11" t="str">
        <f t="shared" si="2"/>
        <v>Aligned</v>
      </c>
      <c r="P53" s="11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</row>
    <row r="54" spans="2:27" ht="13" customHeight="1">
      <c r="B54" s="153" t="str">
        <f>'01_Portfolio_Input'!B47</f>
        <v>CIB042</v>
      </c>
      <c r="C54" s="153" t="str">
        <f>'01_Portfolio_Input'!C47</f>
        <v>Sterling Auto Parts</v>
      </c>
      <c r="D54" s="153" t="str">
        <f>'01_Portfolio_Input'!D47</f>
        <v>Automotive</v>
      </c>
      <c r="E54" s="154">
        <f>'01_Portfolio_Input'!I47</f>
        <v>60</v>
      </c>
      <c r="F54" s="154">
        <f>'01_Portfolio_Input'!J47</f>
        <v>1882.35</v>
      </c>
      <c r="G54" s="121">
        <f>SUM('01_Portfolio_Input'!T47:V47)</f>
        <v>1600000</v>
      </c>
      <c r="H54" s="121">
        <f t="shared" si="3"/>
        <v>850.00132812707523</v>
      </c>
      <c r="I54" s="155">
        <f>INDEX('05_Sector_Pathways'!$P$34:$P$44,MATCH(D54,'05_Sector_Pathways'!$B$34:$B$44,0))</f>
        <v>1014.1106846412933</v>
      </c>
      <c r="J54" s="11">
        <f t="shared" si="4"/>
        <v>0.83817411748080917</v>
      </c>
      <c r="K54" s="153" t="str">
        <f>'01_Portfolio_Input'!Z47</f>
        <v>Limited transition disclosure</v>
      </c>
      <c r="L54" s="156">
        <f>'01_Portfolio_Input'!AB47</f>
        <v>18</v>
      </c>
      <c r="M54" s="156">
        <f>'01_Portfolio_Input'!AC47</f>
        <v>2</v>
      </c>
      <c r="N54" s="156">
        <f>'01_Portfolio_Input'!W47</f>
        <v>3</v>
      </c>
      <c r="O54" s="11" t="str">
        <f t="shared" si="2"/>
        <v>Partially aligned</v>
      </c>
      <c r="P54" s="11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</row>
    <row r="55" spans="2:27" ht="13" customHeight="1">
      <c r="B55" s="153" t="str">
        <f>'01_Portfolio_Input'!B48</f>
        <v>CIB043</v>
      </c>
      <c r="C55" s="153" t="str">
        <f>'01_Portfolio_Input'!C48</f>
        <v>MetroFleet Manufacturing</v>
      </c>
      <c r="D55" s="153" t="str">
        <f>'01_Portfolio_Input'!D48</f>
        <v>Automotive</v>
      </c>
      <c r="E55" s="154">
        <f>'01_Portfolio_Input'!I48</f>
        <v>60</v>
      </c>
      <c r="F55" s="154">
        <f>'01_Portfolio_Input'!J48</f>
        <v>1882.35</v>
      </c>
      <c r="G55" s="121">
        <f>SUM('01_Portfolio_Input'!T48:V48)</f>
        <v>1600000</v>
      </c>
      <c r="H55" s="121">
        <f t="shared" si="3"/>
        <v>850.00132812707523</v>
      </c>
      <c r="I55" s="155">
        <f>INDEX('05_Sector_Pathways'!$P$34:$P$44,MATCH(D55,'05_Sector_Pathways'!$B$34:$B$44,0))</f>
        <v>1014.1106846412933</v>
      </c>
      <c r="J55" s="11">
        <f t="shared" si="4"/>
        <v>0.83817411748080917</v>
      </c>
      <c r="K55" s="153" t="str">
        <f>'01_Portfolio_Input'!Z48</f>
        <v>Limited transition disclosure</v>
      </c>
      <c r="L55" s="156">
        <f>'01_Portfolio_Input'!AB48</f>
        <v>18</v>
      </c>
      <c r="M55" s="156">
        <f>'01_Portfolio_Input'!AC48</f>
        <v>2</v>
      </c>
      <c r="N55" s="156">
        <f>'01_Portfolio_Input'!W48</f>
        <v>3</v>
      </c>
      <c r="O55" s="11" t="str">
        <f t="shared" si="2"/>
        <v>Partially aligned</v>
      </c>
      <c r="P55" s="11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</row>
    <row r="56" spans="2:27" ht="13" customHeight="1">
      <c r="B56" s="153" t="str">
        <f>'01_Portfolio_Input'!B49</f>
        <v>CIB044</v>
      </c>
      <c r="C56" s="153" t="str">
        <f>'01_Portfolio_Input'!C49</f>
        <v>Fieldstone Nutrition</v>
      </c>
      <c r="D56" s="153" t="str">
        <f>'01_Portfolio_Input'!D49</f>
        <v>Agriculture &amp; Food</v>
      </c>
      <c r="E56" s="154">
        <f>'01_Portfolio_Input'!I49</f>
        <v>60</v>
      </c>
      <c r="F56" s="154">
        <f>'01_Portfolio_Input'!J49</f>
        <v>277.77999999999997</v>
      </c>
      <c r="G56" s="121">
        <f>SUM('01_Portfolio_Input'!T49:V49)</f>
        <v>250000</v>
      </c>
      <c r="H56" s="121">
        <f t="shared" si="3"/>
        <v>899.99280005759965</v>
      </c>
      <c r="I56" s="155">
        <f>INDEX('05_Sector_Pathways'!$P$34:$P$44,MATCH(D56,'05_Sector_Pathways'!$B$34:$B$44,0))</f>
        <v>1060.8801449123846</v>
      </c>
      <c r="J56" s="11">
        <f t="shared" si="4"/>
        <v>0.84834540864361996</v>
      </c>
      <c r="K56" s="153" t="str">
        <f>'01_Portfolio_Input'!Z49</f>
        <v>Partial transition plan</v>
      </c>
      <c r="L56" s="156">
        <f>'01_Portfolio_Input'!AB49</f>
        <v>18</v>
      </c>
      <c r="M56" s="156">
        <f>'01_Portfolio_Input'!AC49</f>
        <v>2</v>
      </c>
      <c r="N56" s="156">
        <f>'01_Portfolio_Input'!W49</f>
        <v>3</v>
      </c>
      <c r="O56" s="11" t="str">
        <f t="shared" si="2"/>
        <v>Partially aligned</v>
      </c>
      <c r="P56" s="11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</row>
    <row r="57" spans="2:27" ht="13" customHeight="1">
      <c r="B57" s="153" t="str">
        <f>'01_Portfolio_Input'!B50</f>
        <v>CIB045</v>
      </c>
      <c r="C57" s="153" t="str">
        <f>'01_Portfolio_Input'!C50</f>
        <v>GreenVale Processing</v>
      </c>
      <c r="D57" s="153" t="str">
        <f>'01_Portfolio_Input'!D50</f>
        <v>Agriculture &amp; Food</v>
      </c>
      <c r="E57" s="154">
        <f>'01_Portfolio_Input'!I50</f>
        <v>60</v>
      </c>
      <c r="F57" s="154">
        <f>'01_Portfolio_Input'!J50</f>
        <v>277.77999999999997</v>
      </c>
      <c r="G57" s="121">
        <f>SUM('01_Portfolio_Input'!T50:V50)</f>
        <v>250000</v>
      </c>
      <c r="H57" s="121">
        <f t="shared" si="3"/>
        <v>899.99280005759965</v>
      </c>
      <c r="I57" s="155">
        <f>INDEX('05_Sector_Pathways'!$P$34:$P$44,MATCH(D57,'05_Sector_Pathways'!$B$34:$B$44,0))</f>
        <v>1060.8801449123846</v>
      </c>
      <c r="J57" s="11">
        <f t="shared" si="4"/>
        <v>0.84834540864361996</v>
      </c>
      <c r="K57" s="153" t="str">
        <f>'01_Portfolio_Input'!Z50</f>
        <v>Partial transition plan</v>
      </c>
      <c r="L57" s="156">
        <f>'01_Portfolio_Input'!AB50</f>
        <v>18</v>
      </c>
      <c r="M57" s="156">
        <f>'01_Portfolio_Input'!AC50</f>
        <v>2</v>
      </c>
      <c r="N57" s="156">
        <f>'01_Portfolio_Input'!W50</f>
        <v>3</v>
      </c>
      <c r="O57" s="11" t="str">
        <f t="shared" si="2"/>
        <v>Partially aligned</v>
      </c>
      <c r="P57" s="11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</row>
    <row r="58" spans="2:27" ht="13" customHeight="1">
      <c r="B58" s="153" t="str">
        <f>'01_Portfolio_Input'!B51</f>
        <v>CIB046</v>
      </c>
      <c r="C58" s="153" t="str">
        <f>'01_Portfolio_Input'!C51</f>
        <v>HarvestLink Foods</v>
      </c>
      <c r="D58" s="153" t="str">
        <f>'01_Portfolio_Input'!D51</f>
        <v>Agriculture &amp; Food</v>
      </c>
      <c r="E58" s="154">
        <f>'01_Portfolio_Input'!I51</f>
        <v>55</v>
      </c>
      <c r="F58" s="154">
        <f>'01_Portfolio_Input'!J51</f>
        <v>277.77999999999997</v>
      </c>
      <c r="G58" s="121">
        <f>SUM('01_Portfolio_Input'!T51:V51)</f>
        <v>250000</v>
      </c>
      <c r="H58" s="121">
        <f t="shared" si="3"/>
        <v>899.99280005759965</v>
      </c>
      <c r="I58" s="155">
        <f>INDEX('05_Sector_Pathways'!$P$34:$P$44,MATCH(D58,'05_Sector_Pathways'!$B$34:$B$44,0))</f>
        <v>1060.8801449123846</v>
      </c>
      <c r="J58" s="11">
        <f t="shared" si="4"/>
        <v>0.84834540864361996</v>
      </c>
      <c r="K58" s="153" t="str">
        <f>'01_Portfolio_Input'!Z51</f>
        <v>Partial transition plan</v>
      </c>
      <c r="L58" s="156">
        <f>'01_Portfolio_Input'!AB51</f>
        <v>18</v>
      </c>
      <c r="M58" s="156">
        <f>'01_Portfolio_Input'!AC51</f>
        <v>2</v>
      </c>
      <c r="N58" s="156">
        <f>'01_Portfolio_Input'!W51</f>
        <v>3</v>
      </c>
      <c r="O58" s="11" t="str">
        <f t="shared" si="2"/>
        <v>Partially aligned</v>
      </c>
      <c r="P58" s="11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</row>
    <row r="59" spans="2:27" ht="13" customHeight="1">
      <c r="B59" s="153" t="str">
        <f>'01_Portfolio_Input'!B52</f>
        <v>CIB047</v>
      </c>
      <c r="C59" s="153" t="str">
        <f>'01_Portfolio_Input'!C52</f>
        <v>Prairie Ingredients</v>
      </c>
      <c r="D59" s="153" t="str">
        <f>'01_Portfolio_Input'!D52</f>
        <v>Agriculture &amp; Food</v>
      </c>
      <c r="E59" s="154">
        <f>'01_Portfolio_Input'!I52</f>
        <v>60</v>
      </c>
      <c r="F59" s="154">
        <f>'01_Portfolio_Input'!J52</f>
        <v>277.77999999999997</v>
      </c>
      <c r="G59" s="121">
        <f>SUM('01_Portfolio_Input'!T52:V52)</f>
        <v>250000</v>
      </c>
      <c r="H59" s="121">
        <f t="shared" si="3"/>
        <v>899.99280005759965</v>
      </c>
      <c r="I59" s="155">
        <f>INDEX('05_Sector_Pathways'!$P$34:$P$44,MATCH(D59,'05_Sector_Pathways'!$B$34:$B$44,0))</f>
        <v>1060.8801449123846</v>
      </c>
      <c r="J59" s="11">
        <f t="shared" si="4"/>
        <v>0.84834540864361996</v>
      </c>
      <c r="K59" s="153" t="str">
        <f>'01_Portfolio_Input'!Z52</f>
        <v>Partial transition plan</v>
      </c>
      <c r="L59" s="156">
        <f>'01_Portfolio_Input'!AB52</f>
        <v>18</v>
      </c>
      <c r="M59" s="156">
        <f>'01_Portfolio_Input'!AC52</f>
        <v>2</v>
      </c>
      <c r="N59" s="156">
        <f>'01_Portfolio_Input'!W52</f>
        <v>3</v>
      </c>
      <c r="O59" s="11" t="str">
        <f t="shared" si="2"/>
        <v>Partially aligned</v>
      </c>
      <c r="P59" s="11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</row>
    <row r="60" spans="2:27" ht="13" customHeight="1">
      <c r="B60" s="153" t="str">
        <f>'01_Portfolio_Input'!B53</f>
        <v>CIB048</v>
      </c>
      <c r="C60" s="153" t="str">
        <f>'01_Portfolio_Input'!C53</f>
        <v>MetroCore Offices</v>
      </c>
      <c r="D60" s="153" t="str">
        <f>'01_Portfolio_Input'!D53</f>
        <v>Real Estate</v>
      </c>
      <c r="E60" s="154">
        <f>'01_Portfolio_Input'!I53</f>
        <v>60</v>
      </c>
      <c r="F60" s="154">
        <f>'01_Portfolio_Input'!J53</f>
        <v>317.45999999999998</v>
      </c>
      <c r="G60" s="121">
        <f>SUM('01_Portfolio_Input'!T53:V53)</f>
        <v>57142.86</v>
      </c>
      <c r="H60" s="121">
        <f t="shared" si="3"/>
        <v>180.00018900018901</v>
      </c>
      <c r="I60" s="155">
        <f>INDEX('05_Sector_Pathways'!$P$34:$P$44,MATCH(D60,'05_Sector_Pathways'!$B$34:$B$44,0))</f>
        <v>686.81283096626294</v>
      </c>
      <c r="J60" s="11">
        <f t="shared" si="4"/>
        <v>0.26208041097157492</v>
      </c>
      <c r="K60" s="153" t="str">
        <f>'01_Portfolio_Input'!Z53</f>
        <v>Credible transition plan</v>
      </c>
      <c r="L60" s="156">
        <f>'01_Portfolio_Input'!AB53</f>
        <v>45</v>
      </c>
      <c r="M60" s="156">
        <f>'01_Portfolio_Input'!AC53</f>
        <v>2</v>
      </c>
      <c r="N60" s="156">
        <f>'01_Portfolio_Input'!W53</f>
        <v>2</v>
      </c>
      <c r="O60" s="11" t="str">
        <f t="shared" si="2"/>
        <v>Aligned</v>
      </c>
      <c r="P60" s="11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</row>
    <row r="61" spans="2:27" ht="13" customHeight="1">
      <c r="B61" s="153" t="str">
        <f>'01_Portfolio_Input'!B54</f>
        <v>CIB049</v>
      </c>
      <c r="C61" s="153" t="str">
        <f>'01_Portfolio_Input'!C54</f>
        <v>CivicSquare Properties</v>
      </c>
      <c r="D61" s="153" t="str">
        <f>'01_Portfolio_Input'!D54</f>
        <v>Real Estate</v>
      </c>
      <c r="E61" s="154">
        <f>'01_Portfolio_Input'!I54</f>
        <v>55</v>
      </c>
      <c r="F61" s="154">
        <f>'01_Portfolio_Input'!J54</f>
        <v>317.45999999999998</v>
      </c>
      <c r="G61" s="121">
        <f>SUM('01_Portfolio_Input'!T54:V54)</f>
        <v>57142.86</v>
      </c>
      <c r="H61" s="121">
        <f t="shared" si="3"/>
        <v>180.00018900018901</v>
      </c>
      <c r="I61" s="155">
        <f>INDEX('05_Sector_Pathways'!$P$34:$P$44,MATCH(D61,'05_Sector_Pathways'!$B$34:$B$44,0))</f>
        <v>686.81283096626294</v>
      </c>
      <c r="J61" s="11">
        <f t="shared" si="4"/>
        <v>0.26208041097157492</v>
      </c>
      <c r="K61" s="153" t="str">
        <f>'01_Portfolio_Input'!Z54</f>
        <v>Credible transition plan</v>
      </c>
      <c r="L61" s="156">
        <f>'01_Portfolio_Input'!AB54</f>
        <v>45</v>
      </c>
      <c r="M61" s="156">
        <f>'01_Portfolio_Input'!AC54</f>
        <v>2</v>
      </c>
      <c r="N61" s="156">
        <f>'01_Portfolio_Input'!W54</f>
        <v>2</v>
      </c>
      <c r="O61" s="11" t="str">
        <f t="shared" si="2"/>
        <v>Aligned</v>
      </c>
      <c r="P61" s="11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</row>
    <row r="62" spans="2:27" ht="13" customHeight="1">
      <c r="B62" s="153" t="str">
        <f>'01_Portfolio_Input'!B55</f>
        <v>CIB050</v>
      </c>
      <c r="C62" s="153" t="str">
        <f>'01_Portfolio_Input'!C55</f>
        <v>Horizon Logistics Parks</v>
      </c>
      <c r="D62" s="153" t="str">
        <f>'01_Portfolio_Input'!D55</f>
        <v>Real Estate</v>
      </c>
      <c r="E62" s="154">
        <f>'01_Portfolio_Input'!I55</f>
        <v>55</v>
      </c>
      <c r="F62" s="154">
        <f>'01_Portfolio_Input'!J55</f>
        <v>317.45999999999998</v>
      </c>
      <c r="G62" s="121">
        <f>SUM('01_Portfolio_Input'!T55:V55)</f>
        <v>57142.86</v>
      </c>
      <c r="H62" s="121">
        <f t="shared" si="3"/>
        <v>180.00018900018901</v>
      </c>
      <c r="I62" s="155">
        <f>INDEX('05_Sector_Pathways'!$P$34:$P$44,MATCH(D62,'05_Sector_Pathways'!$B$34:$B$44,0))</f>
        <v>686.81283096626294</v>
      </c>
      <c r="J62" s="11">
        <f t="shared" si="4"/>
        <v>0.26208041097157492</v>
      </c>
      <c r="K62" s="153" t="str">
        <f>'01_Portfolio_Input'!Z55</f>
        <v>Credible transition plan</v>
      </c>
      <c r="L62" s="156">
        <f>'01_Portfolio_Input'!AB55</f>
        <v>45</v>
      </c>
      <c r="M62" s="156">
        <f>'01_Portfolio_Input'!AC55</f>
        <v>2</v>
      </c>
      <c r="N62" s="156">
        <f>'01_Portfolio_Input'!W55</f>
        <v>2</v>
      </c>
      <c r="O62" s="11" t="str">
        <f t="shared" si="2"/>
        <v>Aligned</v>
      </c>
      <c r="P62" s="11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</row>
    <row r="63" spans="2:27" ht="13" customHeight="1">
      <c r="B63" s="153" t="str">
        <f>'01_Portfolio_Input'!B56</f>
        <v>CIB051</v>
      </c>
      <c r="C63" s="153" t="str">
        <f>'01_Portfolio_Input'!C56</f>
        <v>UnionPoint Residential</v>
      </c>
      <c r="D63" s="153" t="str">
        <f>'01_Portfolio_Input'!D56</f>
        <v>Real Estate</v>
      </c>
      <c r="E63" s="154">
        <f>'01_Portfolio_Input'!I56</f>
        <v>50</v>
      </c>
      <c r="F63" s="154">
        <f>'01_Portfolio_Input'!J56</f>
        <v>317.45999999999998</v>
      </c>
      <c r="G63" s="121">
        <f>SUM('01_Portfolio_Input'!T56:V56)</f>
        <v>57142.86</v>
      </c>
      <c r="H63" s="121">
        <f t="shared" si="3"/>
        <v>180.00018900018901</v>
      </c>
      <c r="I63" s="155">
        <f>INDEX('05_Sector_Pathways'!$P$34:$P$44,MATCH(D63,'05_Sector_Pathways'!$B$34:$B$44,0))</f>
        <v>686.81283096626294</v>
      </c>
      <c r="J63" s="11">
        <f t="shared" si="4"/>
        <v>0.26208041097157492</v>
      </c>
      <c r="K63" s="153" t="str">
        <f>'01_Portfolio_Input'!Z56</f>
        <v>Credible transition plan</v>
      </c>
      <c r="L63" s="156">
        <f>'01_Portfolio_Input'!AB56</f>
        <v>45</v>
      </c>
      <c r="M63" s="156">
        <f>'01_Portfolio_Input'!AC56</f>
        <v>2</v>
      </c>
      <c r="N63" s="156">
        <f>'01_Portfolio_Input'!W56</f>
        <v>2</v>
      </c>
      <c r="O63" s="11" t="str">
        <f t="shared" si="2"/>
        <v>Aligned</v>
      </c>
      <c r="P63" s="11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</row>
    <row r="64" spans="2:27" ht="13" customHeight="1">
      <c r="B64" s="153" t="str">
        <f>'01_Portfolio_Input'!B57</f>
        <v>CIB052</v>
      </c>
      <c r="C64" s="153" t="str">
        <f>'01_Portfolio_Input'!C57</f>
        <v>Atrium Living Assets</v>
      </c>
      <c r="D64" s="153" t="str">
        <f>'01_Portfolio_Input'!D57</f>
        <v>Real Estate</v>
      </c>
      <c r="E64" s="154">
        <f>'01_Portfolio_Input'!I57</f>
        <v>50</v>
      </c>
      <c r="F64" s="154">
        <f>'01_Portfolio_Input'!J57</f>
        <v>317.45999999999998</v>
      </c>
      <c r="G64" s="121">
        <f>SUM('01_Portfolio_Input'!T57:V57)</f>
        <v>57142.86</v>
      </c>
      <c r="H64" s="121">
        <f t="shared" si="3"/>
        <v>180.00018900018901</v>
      </c>
      <c r="I64" s="155">
        <f>INDEX('05_Sector_Pathways'!$P$34:$P$44,MATCH(D64,'05_Sector_Pathways'!$B$34:$B$44,0))</f>
        <v>686.81283096626294</v>
      </c>
      <c r="J64" s="11">
        <f t="shared" si="4"/>
        <v>0.26208041097157492</v>
      </c>
      <c r="K64" s="153" t="str">
        <f>'01_Portfolio_Input'!Z57</f>
        <v>Credible transition plan</v>
      </c>
      <c r="L64" s="156">
        <f>'01_Portfolio_Input'!AB57</f>
        <v>45</v>
      </c>
      <c r="M64" s="156">
        <f>'01_Portfolio_Input'!AC57</f>
        <v>2</v>
      </c>
      <c r="N64" s="156">
        <f>'01_Portfolio_Input'!W57</f>
        <v>2</v>
      </c>
      <c r="O64" s="11" t="str">
        <f t="shared" si="2"/>
        <v>Aligned</v>
      </c>
      <c r="P64" s="11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</row>
    <row r="65" spans="1:28" ht="13" customHeight="1">
      <c r="B65" s="153" t="str">
        <f>'01_Portfolio_Input'!B58</f>
        <v>CIB053</v>
      </c>
      <c r="C65" s="153" t="str">
        <f>'01_Portfolio_Input'!C58</f>
        <v>Mercury Retail Services</v>
      </c>
      <c r="D65" s="153" t="str">
        <f>'01_Portfolio_Input'!D58</f>
        <v>Retail &amp; Services</v>
      </c>
      <c r="E65" s="154">
        <f>'01_Portfolio_Input'!I58</f>
        <v>40</v>
      </c>
      <c r="F65" s="154">
        <f>'01_Portfolio_Input'!J58</f>
        <v>1538.46</v>
      </c>
      <c r="G65" s="121">
        <f>SUM('01_Portfolio_Input'!T58:V58)</f>
        <v>400000</v>
      </c>
      <c r="H65" s="121">
        <f t="shared" si="3"/>
        <v>260.00026000025997</v>
      </c>
      <c r="I65" s="155">
        <f>INDEX('05_Sector_Pathways'!$P$34:$P$44,MATCH(D65,'05_Sector_Pathways'!$B$34:$B$44,0))</f>
        <v>548.52228102061292</v>
      </c>
      <c r="J65" s="11">
        <f t="shared" si="4"/>
        <v>0.47400127396190389</v>
      </c>
      <c r="K65" s="153" t="str">
        <f>'01_Portfolio_Input'!Z58</f>
        <v>Credible transition plan</v>
      </c>
      <c r="L65" s="156">
        <f>'01_Portfolio_Input'!AB58</f>
        <v>45</v>
      </c>
      <c r="M65" s="156">
        <f>'01_Portfolio_Input'!AC58</f>
        <v>2</v>
      </c>
      <c r="N65" s="156">
        <f>'01_Portfolio_Input'!W58</f>
        <v>2</v>
      </c>
      <c r="O65" s="11" t="str">
        <f t="shared" si="2"/>
        <v>Aligned</v>
      </c>
      <c r="P65" s="11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</row>
    <row r="66" spans="1:28" ht="13" customHeight="1">
      <c r="B66" s="153" t="str">
        <f>'01_Portfolio_Input'!B59</f>
        <v>CIB054</v>
      </c>
      <c r="C66" s="153" t="str">
        <f>'01_Portfolio_Input'!C59</f>
        <v>Northstar Consumer Group</v>
      </c>
      <c r="D66" s="153" t="str">
        <f>'01_Portfolio_Input'!D59</f>
        <v>Retail &amp; Services</v>
      </c>
      <c r="E66" s="154">
        <f>'01_Portfolio_Input'!I59</f>
        <v>40</v>
      </c>
      <c r="F66" s="154">
        <f>'01_Portfolio_Input'!J59</f>
        <v>1538.46</v>
      </c>
      <c r="G66" s="121">
        <f>SUM('01_Portfolio_Input'!T59:V59)</f>
        <v>400000</v>
      </c>
      <c r="H66" s="121">
        <f t="shared" si="3"/>
        <v>260.00026000025997</v>
      </c>
      <c r="I66" s="155">
        <f>INDEX('05_Sector_Pathways'!$P$34:$P$44,MATCH(D66,'05_Sector_Pathways'!$B$34:$B$44,0))</f>
        <v>548.52228102061292</v>
      </c>
      <c r="J66" s="11">
        <f t="shared" si="4"/>
        <v>0.47400127396190389</v>
      </c>
      <c r="K66" s="153" t="str">
        <f>'01_Portfolio_Input'!Z59</f>
        <v>Credible transition plan</v>
      </c>
      <c r="L66" s="156">
        <f>'01_Portfolio_Input'!AB59</f>
        <v>45</v>
      </c>
      <c r="M66" s="156">
        <f>'01_Portfolio_Input'!AC59</f>
        <v>2</v>
      </c>
      <c r="N66" s="156">
        <f>'01_Portfolio_Input'!W59</f>
        <v>2</v>
      </c>
      <c r="O66" s="11" t="str">
        <f t="shared" si="2"/>
        <v>Aligned</v>
      </c>
      <c r="P66" s="11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</row>
    <row r="67" spans="1:28" ht="13" customHeight="1">
      <c r="B67" s="153" t="str">
        <f>'01_Portfolio_Input'!B60</f>
        <v>CIB055</v>
      </c>
      <c r="C67" s="153" t="str">
        <f>'01_Portfolio_Input'!C60</f>
        <v>Luna Hospitality Services</v>
      </c>
      <c r="D67" s="153" t="str">
        <f>'01_Portfolio_Input'!D60</f>
        <v>Retail &amp; Services</v>
      </c>
      <c r="E67" s="154">
        <f>'01_Portfolio_Input'!I60</f>
        <v>40</v>
      </c>
      <c r="F67" s="154">
        <f>'01_Portfolio_Input'!J60</f>
        <v>1538.46</v>
      </c>
      <c r="G67" s="121">
        <f>SUM('01_Portfolio_Input'!T60:V60)</f>
        <v>400000</v>
      </c>
      <c r="H67" s="121">
        <f t="shared" si="3"/>
        <v>260.00026000025997</v>
      </c>
      <c r="I67" s="155">
        <f>INDEX('05_Sector_Pathways'!$P$34:$P$44,MATCH(D67,'05_Sector_Pathways'!$B$34:$B$44,0))</f>
        <v>548.52228102061292</v>
      </c>
      <c r="J67" s="11">
        <f t="shared" si="4"/>
        <v>0.47400127396190389</v>
      </c>
      <c r="K67" s="153" t="str">
        <f>'01_Portfolio_Input'!Z60</f>
        <v>Credible transition plan</v>
      </c>
      <c r="L67" s="156">
        <f>'01_Portfolio_Input'!AB60</f>
        <v>45</v>
      </c>
      <c r="M67" s="156">
        <f>'01_Portfolio_Input'!AC60</f>
        <v>2</v>
      </c>
      <c r="N67" s="156">
        <f>'01_Portfolio_Input'!W60</f>
        <v>2</v>
      </c>
      <c r="O67" s="11" t="str">
        <f t="shared" si="2"/>
        <v>Aligned</v>
      </c>
      <c r="P67" s="11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</row>
    <row r="68" spans="1:28" ht="13" customHeight="1">
      <c r="B68" s="153" t="str">
        <f>'01_Portfolio_Input'!B61</f>
        <v>CIB056</v>
      </c>
      <c r="C68" s="153" t="str">
        <f>'01_Portfolio_Input'!C61</f>
        <v>ClearPath Business Services</v>
      </c>
      <c r="D68" s="153" t="str">
        <f>'01_Portfolio_Input'!D61</f>
        <v>Retail &amp; Services</v>
      </c>
      <c r="E68" s="154">
        <f>'01_Portfolio_Input'!I61</f>
        <v>40</v>
      </c>
      <c r="F68" s="154">
        <f>'01_Portfolio_Input'!J61</f>
        <v>1153.8499999999999</v>
      </c>
      <c r="G68" s="121">
        <f>SUM('01_Portfolio_Input'!T61:V61)</f>
        <v>300000</v>
      </c>
      <c r="H68" s="121">
        <f t="shared" si="3"/>
        <v>259.99913333622226</v>
      </c>
      <c r="I68" s="155">
        <f>INDEX('05_Sector_Pathways'!$P$34:$P$44,MATCH(D68,'05_Sector_Pathways'!$B$34:$B$44,0))</f>
        <v>548.52228102061292</v>
      </c>
      <c r="J68" s="11">
        <f t="shared" si="4"/>
        <v>0.47399921996323019</v>
      </c>
      <c r="K68" s="153" t="str">
        <f>'01_Portfolio_Input'!Z61</f>
        <v>Credible transition plan</v>
      </c>
      <c r="L68" s="156">
        <f>'01_Portfolio_Input'!AB61</f>
        <v>45</v>
      </c>
      <c r="M68" s="156">
        <f>'01_Portfolio_Input'!AC61</f>
        <v>2</v>
      </c>
      <c r="N68" s="156">
        <f>'01_Portfolio_Input'!W61</f>
        <v>2</v>
      </c>
      <c r="O68" s="11" t="str">
        <f t="shared" si="2"/>
        <v>Aligned</v>
      </c>
      <c r="P68" s="11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</row>
    <row r="69" spans="1:28" ht="13" customHeight="1">
      <c r="B69" s="153" t="str">
        <f>'01_Portfolio_Input'!B62</f>
        <v>CIB057</v>
      </c>
      <c r="C69" s="153" t="str">
        <f>'01_Portfolio_Input'!C62</f>
        <v>Cobalt Digital Services</v>
      </c>
      <c r="D69" s="153" t="str">
        <f>'01_Portfolio_Input'!D62</f>
        <v>Retail &amp; Services</v>
      </c>
      <c r="E69" s="154">
        <f>'01_Portfolio_Input'!I62</f>
        <v>35</v>
      </c>
      <c r="F69" s="154">
        <f>'01_Portfolio_Input'!J62</f>
        <v>1153.8499999999999</v>
      </c>
      <c r="G69" s="121">
        <f>SUM('01_Portfolio_Input'!T62:V62)</f>
        <v>300000</v>
      </c>
      <c r="H69" s="121">
        <f t="shared" si="3"/>
        <v>259.99913333622226</v>
      </c>
      <c r="I69" s="155">
        <f>INDEX('05_Sector_Pathways'!$P$34:$P$44,MATCH(D69,'05_Sector_Pathways'!$B$34:$B$44,0))</f>
        <v>548.52228102061292</v>
      </c>
      <c r="J69" s="11">
        <f t="shared" si="4"/>
        <v>0.47399921996323019</v>
      </c>
      <c r="K69" s="153" t="str">
        <f>'01_Portfolio_Input'!Z62</f>
        <v>Credible transition plan</v>
      </c>
      <c r="L69" s="156">
        <f>'01_Portfolio_Input'!AB62</f>
        <v>45</v>
      </c>
      <c r="M69" s="156">
        <f>'01_Portfolio_Input'!AC62</f>
        <v>2</v>
      </c>
      <c r="N69" s="156">
        <f>'01_Portfolio_Input'!W62</f>
        <v>2</v>
      </c>
      <c r="O69" s="11" t="str">
        <f t="shared" si="2"/>
        <v>Aligned</v>
      </c>
      <c r="P69" s="11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</row>
    <row r="70" spans="1:28" ht="13" customHeight="1">
      <c r="B70" s="153" t="str">
        <f>'01_Portfolio_Input'!B63</f>
        <v>CIB058</v>
      </c>
      <c r="C70" s="153" t="str">
        <f>'01_Portfolio_Input'!C63</f>
        <v>Meridian Retail Parks</v>
      </c>
      <c r="D70" s="153" t="str">
        <f>'01_Portfolio_Input'!D63</f>
        <v>Retail &amp; Services</v>
      </c>
      <c r="E70" s="154">
        <f>'01_Portfolio_Input'!I63</f>
        <v>35</v>
      </c>
      <c r="F70" s="154">
        <f>'01_Portfolio_Input'!J63</f>
        <v>1153.8499999999999</v>
      </c>
      <c r="G70" s="121">
        <f>SUM('01_Portfolio_Input'!T63:V63)</f>
        <v>300000</v>
      </c>
      <c r="H70" s="121">
        <f t="shared" si="3"/>
        <v>259.99913333622226</v>
      </c>
      <c r="I70" s="155">
        <f>INDEX('05_Sector_Pathways'!$P$34:$P$44,MATCH(D70,'05_Sector_Pathways'!$B$34:$B$44,0))</f>
        <v>548.52228102061292</v>
      </c>
      <c r="J70" s="11">
        <f t="shared" si="4"/>
        <v>0.47399921996323019</v>
      </c>
      <c r="K70" s="153" t="str">
        <f>'01_Portfolio_Input'!Z63</f>
        <v>Credible transition plan</v>
      </c>
      <c r="L70" s="156">
        <f>'01_Portfolio_Input'!AB63</f>
        <v>45</v>
      </c>
      <c r="M70" s="156">
        <f>'01_Portfolio_Input'!AC63</f>
        <v>2</v>
      </c>
      <c r="N70" s="156">
        <f>'01_Portfolio_Input'!W63</f>
        <v>2</v>
      </c>
      <c r="O70" s="11" t="str">
        <f t="shared" si="2"/>
        <v>Aligned</v>
      </c>
      <c r="P70" s="11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</row>
    <row r="71" spans="1:28" ht="13" customHeight="1">
      <c r="B71" s="153" t="str">
        <f>'01_Portfolio_Input'!B64</f>
        <v>CIB059</v>
      </c>
      <c r="C71" s="153" t="str">
        <f>'01_Portfolio_Input'!C64</f>
        <v>Summit Care Services</v>
      </c>
      <c r="D71" s="153" t="str">
        <f>'01_Portfolio_Input'!D64</f>
        <v>Retail &amp; Services</v>
      </c>
      <c r="E71" s="154">
        <f>'01_Portfolio_Input'!I64</f>
        <v>35</v>
      </c>
      <c r="F71" s="154">
        <f>'01_Portfolio_Input'!J64</f>
        <v>1153.8499999999999</v>
      </c>
      <c r="G71" s="121">
        <f>SUM('01_Portfolio_Input'!T64:V64)</f>
        <v>300000</v>
      </c>
      <c r="H71" s="121">
        <f t="shared" si="3"/>
        <v>259.99913333622226</v>
      </c>
      <c r="I71" s="155">
        <f>INDEX('05_Sector_Pathways'!$P$34:$P$44,MATCH(D71,'05_Sector_Pathways'!$B$34:$B$44,0))</f>
        <v>548.52228102061292</v>
      </c>
      <c r="J71" s="11">
        <f t="shared" si="4"/>
        <v>0.47399921996323019</v>
      </c>
      <c r="K71" s="153" t="str">
        <f>'01_Portfolio_Input'!Z64</f>
        <v>Credible transition plan</v>
      </c>
      <c r="L71" s="156">
        <f>'01_Portfolio_Input'!AB64</f>
        <v>45</v>
      </c>
      <c r="M71" s="156">
        <f>'01_Portfolio_Input'!AC64</f>
        <v>2</v>
      </c>
      <c r="N71" s="156">
        <f>'01_Portfolio_Input'!W64</f>
        <v>2</v>
      </c>
      <c r="O71" s="11" t="str">
        <f t="shared" si="2"/>
        <v>Aligned</v>
      </c>
      <c r="P71" s="11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</row>
    <row r="72" spans="1:28" ht="13" customHeight="1">
      <c r="B72" s="153" t="str">
        <f>'01_Portfolio_Input'!B65</f>
        <v>CIB060</v>
      </c>
      <c r="C72" s="153" t="str">
        <f>'01_Portfolio_Input'!C65</f>
        <v>AtlasPoint Services</v>
      </c>
      <c r="D72" s="153" t="str">
        <f>'01_Portfolio_Input'!D65</f>
        <v>Retail &amp; Services</v>
      </c>
      <c r="E72" s="154">
        <f>'01_Portfolio_Input'!I65</f>
        <v>35</v>
      </c>
      <c r="F72" s="154">
        <f>'01_Portfolio_Input'!J65</f>
        <v>769.23</v>
      </c>
      <c r="G72" s="121">
        <f>SUM('01_Portfolio_Input'!T65:V65)</f>
        <v>200000</v>
      </c>
      <c r="H72" s="121">
        <f t="shared" si="3"/>
        <v>260.00026000025997</v>
      </c>
      <c r="I72" s="155">
        <f>INDEX('05_Sector_Pathways'!$P$34:$P$44,MATCH(D72,'05_Sector_Pathways'!$B$34:$B$44,0))</f>
        <v>548.52228102061292</v>
      </c>
      <c r="J72" s="11">
        <f t="shared" si="4"/>
        <v>0.47400127396190389</v>
      </c>
      <c r="K72" s="153" t="str">
        <f>'01_Portfolio_Input'!Z65</f>
        <v>Credible transition plan</v>
      </c>
      <c r="L72" s="156">
        <f>'01_Portfolio_Input'!AB65</f>
        <v>45</v>
      </c>
      <c r="M72" s="156">
        <f>'01_Portfolio_Input'!AC65</f>
        <v>2</v>
      </c>
      <c r="N72" s="156">
        <f>'01_Portfolio_Input'!W65</f>
        <v>2</v>
      </c>
      <c r="O72" s="11" t="str">
        <f t="shared" si="2"/>
        <v>Aligned</v>
      </c>
      <c r="P72" s="11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</row>
    <row r="73" spans="1:28"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</row>
    <row r="74" spans="1:28" ht="13" customHeight="1">
      <c r="A74" t="s">
        <v>11</v>
      </c>
      <c r="B74" s="35"/>
      <c r="C74" s="35"/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5"/>
      <c r="O74" s="35"/>
      <c r="P74" s="35"/>
      <c r="Q74" s="35"/>
      <c r="R74" s="162"/>
      <c r="S74" s="162"/>
      <c r="T74" s="162"/>
      <c r="U74" s="162"/>
      <c r="V74" s="162"/>
      <c r="W74" s="162"/>
      <c r="X74" s="162"/>
      <c r="Y74" s="162"/>
      <c r="Z74" s="162"/>
      <c r="AA74" s="162"/>
      <c r="AB74" s="162"/>
    </row>
    <row r="75" spans="1:28"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</row>
    <row r="76" spans="1:28" hidden="1"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</row>
    <row r="77" spans="1:28" hidden="1"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</row>
    <row r="78" spans="1:28" hidden="1"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</row>
    <row r="79" spans="1:28" hidden="1"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</row>
    <row r="80" spans="1:28" hidden="1"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</row>
    <row r="81" spans="2:27" hidden="1"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</row>
    <row r="82" spans="2:27" hidden="1"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</row>
    <row r="83" spans="2:27" hidden="1"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</row>
    <row r="84" spans="2:27" hidden="1"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</row>
    <row r="85" spans="2:27" hidden="1"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</row>
    <row r="86" spans="2:27" hidden="1"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</row>
    <row r="87" spans="2:27" hidden="1"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</row>
    <row r="88" spans="2:27" hidden="1"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</row>
    <row r="89" spans="2:27" hidden="1"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</row>
    <row r="90" spans="2:27" hidden="1"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</row>
    <row r="91" spans="2:27" hidden="1"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</row>
    <row r="92" spans="2:27" hidden="1"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</row>
    <row r="93" spans="2:27" hidden="1"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</row>
    <row r="94" spans="2:27" hidden="1"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</row>
    <row r="95" spans="2:27" hidden="1"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</row>
    <row r="96" spans="2:27" hidden="1"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</row>
    <row r="97" spans="2:27" hidden="1"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</row>
    <row r="98" spans="2:27" hidden="1"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</row>
    <row r="99" spans="2:27" hidden="1"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</row>
    <row r="100" spans="2:27" hidden="1"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</row>
    <row r="101" spans="2:27" hidden="1"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</row>
    <row r="102" spans="2:27" hidden="1"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</row>
    <row r="103" spans="2:27" hidden="1"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</row>
    <row r="104" spans="2:27" hidden="1"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</row>
    <row r="105" spans="2:27" hidden="1"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</row>
    <row r="106" spans="2:27" hidden="1"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</row>
    <row r="107" spans="2:27" hidden="1"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</row>
    <row r="108" spans="2:27" hidden="1"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</row>
    <row r="109" spans="2:27" hidden="1"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</row>
    <row r="110" spans="2:27" hidden="1"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</row>
    <row r="111" spans="2:27" hidden="1"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F39"/>
  <sheetViews>
    <sheetView showGridLines="0" workbookViewId="0"/>
  </sheetViews>
  <sheetFormatPr baseColWidth="10" defaultColWidth="0" defaultRowHeight="14" zeroHeight="1"/>
  <cols>
    <col min="1" max="1" width="2.83203125" customWidth="1"/>
    <col min="2" max="2" width="32.83203125" customWidth="1"/>
    <col min="3" max="3" width="17.6640625" customWidth="1"/>
    <col min="4" max="4" width="18" customWidth="1"/>
    <col min="5" max="5" width="20" customWidth="1"/>
    <col min="6" max="6" width="18" customWidth="1"/>
    <col min="7" max="7" width="14" customWidth="1"/>
    <col min="8" max="9" width="16" customWidth="1"/>
    <col min="10" max="11" width="14" customWidth="1"/>
    <col min="12" max="12" width="16" customWidth="1"/>
    <col min="13" max="13" width="18.1640625" customWidth="1"/>
    <col min="14" max="15" width="16" customWidth="1"/>
    <col min="16" max="16" width="13" customWidth="1"/>
    <col min="17" max="17" width="16.33203125" customWidth="1"/>
    <col min="18" max="18" width="15" customWidth="1"/>
    <col min="19" max="19" width="12" customWidth="1"/>
    <col min="20" max="20" width="16" customWidth="1"/>
    <col min="21" max="22" width="18" customWidth="1"/>
    <col min="23" max="23" width="14" customWidth="1"/>
    <col min="24" max="25" width="16" customWidth="1"/>
    <col min="26" max="26" width="18" customWidth="1"/>
    <col min="27" max="27" width="41.5" customWidth="1"/>
    <col min="28" max="28" width="46.33203125" customWidth="1"/>
    <col min="29" max="29" width="93.83203125" customWidth="1"/>
    <col min="30" max="30" width="42" customWidth="1"/>
    <col min="31" max="31" width="32" hidden="1"/>
    <col min="32" max="32" width="10.83203125" hidden="1" customWidth="1"/>
    <col min="33" max="16384" width="8.83203125" hidden="1"/>
  </cols>
  <sheetData>
    <row r="1" spans="1:30" ht="48" customHeight="1">
      <c r="A1" s="132" t="s">
        <v>461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</row>
    <row r="2" spans="1:30" ht="16" customHeight="1">
      <c r="A2" s="34" t="s">
        <v>462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</row>
    <row r="3" spans="1:30"/>
    <row r="4" spans="1:30" ht="17" customHeight="1">
      <c r="A4" t="s">
        <v>11</v>
      </c>
      <c r="B4" s="85" t="s">
        <v>463</v>
      </c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</row>
    <row r="5" spans="1:30" ht="15">
      <c r="B5" s="95" t="s">
        <v>464</v>
      </c>
      <c r="C5" s="76" t="s">
        <v>465</v>
      </c>
    </row>
    <row r="6" spans="1:30" ht="29.25" customHeight="1">
      <c r="B6" s="100" t="s">
        <v>466</v>
      </c>
      <c r="C6" s="100" t="s">
        <v>14</v>
      </c>
      <c r="D6" s="100" t="s">
        <v>17</v>
      </c>
      <c r="E6" s="100" t="s">
        <v>467</v>
      </c>
      <c r="F6" s="100" t="s">
        <v>468</v>
      </c>
      <c r="G6" s="100" t="s">
        <v>469</v>
      </c>
      <c r="H6" s="100" t="s">
        <v>470</v>
      </c>
      <c r="I6" s="100" t="s">
        <v>471</v>
      </c>
      <c r="J6" s="100" t="s">
        <v>472</v>
      </c>
      <c r="K6" s="100" t="s">
        <v>473</v>
      </c>
      <c r="L6" s="94" t="s">
        <v>474</v>
      </c>
      <c r="M6" s="94"/>
      <c r="N6" s="94" t="s">
        <v>475</v>
      </c>
      <c r="O6" s="100"/>
      <c r="P6" s="100"/>
    </row>
    <row r="7" spans="1:30" ht="19" customHeight="1">
      <c r="B7" s="64" t="str">
        <f>INDEX($B$21:$B$25,MATCH($C$5,$C$21:$C$25,0))</f>
        <v>Oil &amp; Gas upstream corporate facility</v>
      </c>
      <c r="C7" s="64" t="str">
        <f>INDEX($D$21:$D$25,MATCH($C$5,$C$21:$C$25,0))</f>
        <v>Oil &amp; Gas</v>
      </c>
      <c r="D7" s="64" t="str">
        <f>INDEX($E$21:$E$25,MATCH($C$5,$C$21:$C$25,0))</f>
        <v>Corporate loan</v>
      </c>
      <c r="E7" s="91">
        <f>INDEX($G$21:$G$25,MATCH($C$5,$C$21:$C$25,0))</f>
        <v>130</v>
      </c>
      <c r="F7" s="91">
        <f>INDEX($H$21:$H$25,MATCH($C$5,$C$21:$C$25,0))</f>
        <v>520</v>
      </c>
      <c r="G7" s="91">
        <f>INDEX($K$21:$K$25,MATCH($C$5,$C$21:$C$25,0))</f>
        <v>4950</v>
      </c>
      <c r="H7" s="91">
        <f>INDEX($M$21:$M$25,MATCH($C$5,$C$21:$C$25,0))</f>
        <v>8620</v>
      </c>
      <c r="I7" s="50">
        <f>INDEX($O$21:$O$25,MATCH($C$5,$C$21:$C$25,0))</f>
        <v>1741</v>
      </c>
      <c r="J7" s="92">
        <f>INDEX($P$21:$P$25,MATCH($C$5,$C$21:$C$25,0))</f>
        <v>3.5693039857227937E-2</v>
      </c>
      <c r="K7" s="93">
        <f>INDEX($S$21:$S$25,MATCH($C$5,$C$21:$C$25,0))</f>
        <v>2.85</v>
      </c>
      <c r="L7" s="64" t="str">
        <f>INDEX($AA$21:$AA$25,MATCH($C$5,$C$21:$C$25,0))</f>
        <v>Misaligned exposure increases to 36.3%</v>
      </c>
      <c r="N7" s="64" t="str">
        <f>INDEX($AB$21:$AB$25,MATCH($C$5,$C$21:$C$25,0))</f>
        <v>Enhanced due diligence / portfolio committee review</v>
      </c>
    </row>
    <row r="8" spans="1:30"/>
    <row r="9" spans="1:30" ht="17" customHeight="1">
      <c r="A9" t="s">
        <v>11</v>
      </c>
      <c r="B9" s="85" t="s">
        <v>476</v>
      </c>
      <c r="C9" s="86"/>
      <c r="D9" s="86"/>
      <c r="E9" s="78"/>
      <c r="F9" s="85" t="s">
        <v>477</v>
      </c>
      <c r="G9" s="85"/>
      <c r="H9" s="85"/>
      <c r="I9" s="85"/>
      <c r="J9" s="85"/>
      <c r="K9" s="85"/>
      <c r="L9" s="85"/>
      <c r="M9" s="85"/>
      <c r="N9" s="85"/>
      <c r="O9" s="85"/>
      <c r="P9" s="85"/>
      <c r="Q9" s="85"/>
      <c r="R9" s="85"/>
      <c r="S9" s="78"/>
      <c r="T9" s="78"/>
      <c r="U9" s="78"/>
      <c r="V9" s="78"/>
      <c r="W9" s="78"/>
      <c r="X9" s="78"/>
      <c r="Y9" s="78"/>
      <c r="Z9" s="78"/>
      <c r="AA9" s="78"/>
    </row>
    <row r="10" spans="1:30" ht="29.25" customHeight="1">
      <c r="B10" s="100" t="s">
        <v>251</v>
      </c>
      <c r="C10" s="100" t="s">
        <v>478</v>
      </c>
      <c r="D10" s="100" t="s">
        <v>479</v>
      </c>
      <c r="F10" s="100" t="s">
        <v>480</v>
      </c>
      <c r="G10" s="100" t="s">
        <v>466</v>
      </c>
      <c r="H10" s="100" t="s">
        <v>14</v>
      </c>
      <c r="I10" s="100" t="s">
        <v>17</v>
      </c>
      <c r="J10" s="100" t="s">
        <v>481</v>
      </c>
      <c r="K10" s="100" t="s">
        <v>467</v>
      </c>
      <c r="L10" s="100" t="s">
        <v>482</v>
      </c>
      <c r="M10" s="100" t="s">
        <v>483</v>
      </c>
      <c r="N10" s="100" t="s">
        <v>484</v>
      </c>
      <c r="O10" s="100" t="s">
        <v>485</v>
      </c>
      <c r="P10" s="100" t="s">
        <v>486</v>
      </c>
      <c r="Q10" s="100" t="s">
        <v>475</v>
      </c>
      <c r="R10" s="100" t="s">
        <v>487</v>
      </c>
    </row>
    <row r="11" spans="1:30" ht="18" customHeight="1">
      <c r="B11" s="65" t="s">
        <v>488</v>
      </c>
      <c r="C11" s="88">
        <f>'04_Portfolio_KPIs'!C6</f>
        <v>4820</v>
      </c>
      <c r="D11" s="65" t="s">
        <v>489</v>
      </c>
      <c r="F11" s="69" t="s">
        <v>490</v>
      </c>
      <c r="G11" s="69" t="s">
        <v>491</v>
      </c>
      <c r="H11" s="69" t="s">
        <v>62</v>
      </c>
      <c r="I11" s="69" t="s">
        <v>64</v>
      </c>
      <c r="J11" s="69" t="s">
        <v>453</v>
      </c>
      <c r="K11" s="80">
        <v>120</v>
      </c>
      <c r="L11" s="80">
        <v>30</v>
      </c>
      <c r="M11" s="80">
        <v>1.625</v>
      </c>
      <c r="N11" s="69" t="s">
        <v>492</v>
      </c>
      <c r="O11" s="69" t="s">
        <v>493</v>
      </c>
      <c r="P11" s="69" t="s">
        <v>494</v>
      </c>
      <c r="Q11" s="69" t="s">
        <v>495</v>
      </c>
      <c r="R11" s="69" t="s">
        <v>496</v>
      </c>
    </row>
    <row r="12" spans="1:30" ht="18" customHeight="1">
      <c r="B12" s="65" t="s">
        <v>497</v>
      </c>
      <c r="C12" s="88">
        <f>ROUND('04_Portfolio_KPIs'!C7,0)</f>
        <v>8100</v>
      </c>
      <c r="D12" s="65" t="s">
        <v>498</v>
      </c>
      <c r="F12" s="69" t="s">
        <v>499</v>
      </c>
      <c r="G12" s="69" t="s">
        <v>500</v>
      </c>
      <c r="H12" s="69" t="s">
        <v>62</v>
      </c>
      <c r="I12" s="69" t="s">
        <v>48</v>
      </c>
      <c r="J12" s="69" t="s">
        <v>454</v>
      </c>
      <c r="K12" s="80">
        <v>95</v>
      </c>
      <c r="L12" s="80">
        <v>180</v>
      </c>
      <c r="M12" s="80">
        <v>3.3929999999999998</v>
      </c>
      <c r="N12" s="69" t="s">
        <v>501</v>
      </c>
      <c r="O12" s="69" t="s">
        <v>502</v>
      </c>
      <c r="P12" s="69" t="s">
        <v>503</v>
      </c>
      <c r="Q12" s="69" t="s">
        <v>504</v>
      </c>
      <c r="R12" s="69" t="s">
        <v>505</v>
      </c>
    </row>
    <row r="13" spans="1:30" ht="18" customHeight="1">
      <c r="B13" s="65" t="s">
        <v>506</v>
      </c>
      <c r="C13" s="88">
        <f>'04_Portfolio_KPIs'!C8</f>
        <v>1681</v>
      </c>
      <c r="D13" s="65" t="s">
        <v>507</v>
      </c>
      <c r="F13" s="69" t="s">
        <v>508</v>
      </c>
      <c r="G13" s="69" t="s">
        <v>509</v>
      </c>
      <c r="H13" s="69" t="s">
        <v>45</v>
      </c>
      <c r="I13" s="69" t="s">
        <v>510</v>
      </c>
      <c r="J13" s="69" t="s">
        <v>456</v>
      </c>
      <c r="K13" s="80">
        <v>110</v>
      </c>
      <c r="L13" s="80">
        <v>260</v>
      </c>
      <c r="M13" s="80">
        <v>2.4169999999999998</v>
      </c>
      <c r="N13" s="69" t="s">
        <v>511</v>
      </c>
      <c r="O13" s="69" t="s">
        <v>512</v>
      </c>
      <c r="P13" s="69" t="s">
        <v>513</v>
      </c>
      <c r="Q13" s="69" t="s">
        <v>514</v>
      </c>
      <c r="R13" s="69" t="s">
        <v>515</v>
      </c>
    </row>
    <row r="14" spans="1:30" ht="18" customHeight="1">
      <c r="B14" s="65" t="s">
        <v>516</v>
      </c>
      <c r="C14" s="89">
        <f>'04_Portfolio_KPIs'!C14</f>
        <v>2.7985145228215766</v>
      </c>
      <c r="D14" s="65" t="s">
        <v>517</v>
      </c>
      <c r="F14" s="69" t="s">
        <v>465</v>
      </c>
      <c r="G14" s="69" t="s">
        <v>518</v>
      </c>
      <c r="H14" s="69" t="s">
        <v>55</v>
      </c>
      <c r="I14" s="69" t="s">
        <v>48</v>
      </c>
      <c r="J14" s="69" t="s">
        <v>456</v>
      </c>
      <c r="K14" s="80">
        <v>130</v>
      </c>
      <c r="L14" s="80">
        <v>520</v>
      </c>
      <c r="M14" s="80">
        <v>4.7590000000000003</v>
      </c>
      <c r="N14" s="69" t="s">
        <v>519</v>
      </c>
      <c r="O14" s="69" t="s">
        <v>520</v>
      </c>
      <c r="P14" s="69" t="s">
        <v>521</v>
      </c>
      <c r="Q14" s="69" t="s">
        <v>522</v>
      </c>
      <c r="R14" s="69" t="s">
        <v>523</v>
      </c>
    </row>
    <row r="15" spans="1:30" ht="18" customHeight="1">
      <c r="B15" s="65" t="s">
        <v>524</v>
      </c>
      <c r="C15" s="90">
        <f>'04_Portfolio_KPIs'!C16</f>
        <v>0.28400000000000003</v>
      </c>
      <c r="D15" s="65" t="s">
        <v>525</v>
      </c>
      <c r="F15" s="69" t="s">
        <v>526</v>
      </c>
      <c r="G15" s="69" t="s">
        <v>527</v>
      </c>
      <c r="H15" s="69" t="s">
        <v>109</v>
      </c>
      <c r="I15" s="69" t="s">
        <v>111</v>
      </c>
      <c r="J15" s="69" t="s">
        <v>453</v>
      </c>
      <c r="K15" s="80">
        <v>85</v>
      </c>
      <c r="L15" s="80">
        <v>20</v>
      </c>
      <c r="M15" s="80">
        <v>0.57599999999999996</v>
      </c>
      <c r="N15" s="69" t="s">
        <v>528</v>
      </c>
      <c r="O15" s="69" t="s">
        <v>529</v>
      </c>
      <c r="P15" s="69" t="s">
        <v>530</v>
      </c>
      <c r="Q15" s="69" t="s">
        <v>495</v>
      </c>
      <c r="R15" s="69" t="s">
        <v>531</v>
      </c>
    </row>
    <row r="16" spans="1:30" ht="18" customHeight="1">
      <c r="B16" s="65" t="s">
        <v>532</v>
      </c>
      <c r="C16" s="90">
        <f>'04_Portfolio_KPIs'!C17</f>
        <v>0.37</v>
      </c>
      <c r="D16" s="65" t="s">
        <v>533</v>
      </c>
    </row>
    <row r="17" spans="1:31" ht="18" customHeight="1">
      <c r="B17" s="65" t="s">
        <v>534</v>
      </c>
      <c r="C17" s="90">
        <f>'04_Portfolio_KPIs'!C18</f>
        <v>0.34600000000000003</v>
      </c>
      <c r="D17" s="65" t="s">
        <v>535</v>
      </c>
    </row>
    <row r="18" spans="1:31"/>
    <row r="19" spans="1:31" ht="17" customHeight="1">
      <c r="A19" t="s">
        <v>11</v>
      </c>
      <c r="B19" s="85" t="s">
        <v>536</v>
      </c>
      <c r="C19" s="85"/>
      <c r="D19" s="85"/>
      <c r="E19" s="85"/>
      <c r="F19" s="85"/>
      <c r="G19" s="85"/>
      <c r="H19" s="85"/>
      <c r="I19" s="85"/>
      <c r="J19" s="85"/>
      <c r="K19" s="85"/>
      <c r="L19" s="85"/>
      <c r="M19" s="85"/>
      <c r="N19" s="85"/>
      <c r="O19" s="85"/>
      <c r="P19" s="85"/>
      <c r="Q19" s="85"/>
      <c r="R19" s="85"/>
      <c r="S19" s="85"/>
      <c r="T19" s="85"/>
      <c r="U19" s="85"/>
      <c r="V19" s="85"/>
      <c r="W19" s="85"/>
      <c r="X19" s="85"/>
      <c r="Y19" s="85"/>
      <c r="Z19" s="85"/>
      <c r="AA19" s="85"/>
      <c r="AB19" s="85"/>
      <c r="AC19" s="85"/>
      <c r="AD19" s="77"/>
      <c r="AE19" s="77"/>
    </row>
    <row r="20" spans="1:31" ht="29.25" customHeight="1">
      <c r="B20" s="100" t="s">
        <v>466</v>
      </c>
      <c r="C20" s="100" t="s">
        <v>480</v>
      </c>
      <c r="D20" s="100" t="s">
        <v>14</v>
      </c>
      <c r="E20" s="100" t="s">
        <v>17</v>
      </c>
      <c r="F20" s="100" t="s">
        <v>481</v>
      </c>
      <c r="G20" s="100" t="s">
        <v>467</v>
      </c>
      <c r="H20" s="100" t="s">
        <v>482</v>
      </c>
      <c r="I20" s="100" t="s">
        <v>537</v>
      </c>
      <c r="J20" s="100" t="s">
        <v>538</v>
      </c>
      <c r="K20" s="100" t="s">
        <v>539</v>
      </c>
      <c r="L20" s="100" t="s">
        <v>540</v>
      </c>
      <c r="M20" s="100" t="s">
        <v>541</v>
      </c>
      <c r="N20" s="100" t="s">
        <v>542</v>
      </c>
      <c r="O20" s="100" t="s">
        <v>543</v>
      </c>
      <c r="P20" s="100" t="s">
        <v>472</v>
      </c>
      <c r="Q20" s="100" t="s">
        <v>544</v>
      </c>
      <c r="R20" s="100" t="s">
        <v>483</v>
      </c>
      <c r="S20" s="100" t="s">
        <v>545</v>
      </c>
      <c r="T20" s="100" t="s">
        <v>546</v>
      </c>
      <c r="U20" s="100" t="s">
        <v>547</v>
      </c>
      <c r="V20" s="100" t="s">
        <v>548</v>
      </c>
      <c r="W20" s="100" t="s">
        <v>549</v>
      </c>
      <c r="X20" s="100" t="s">
        <v>550</v>
      </c>
      <c r="Y20" s="100" t="s">
        <v>551</v>
      </c>
      <c r="Z20" s="100" t="s">
        <v>484</v>
      </c>
      <c r="AA20" s="100" t="s">
        <v>474</v>
      </c>
      <c r="AB20" s="100" t="s">
        <v>475</v>
      </c>
      <c r="AC20" s="100" t="s">
        <v>487</v>
      </c>
      <c r="AD20" s="79"/>
      <c r="AE20" s="79"/>
    </row>
    <row r="21" spans="1:31" ht="18" customHeight="1">
      <c r="B21" s="65" t="str">
        <f>G11</f>
        <v>Renewable utility project finance</v>
      </c>
      <c r="C21" s="65" t="str">
        <f>F11</f>
        <v>TX01</v>
      </c>
      <c r="D21" s="65" t="str">
        <f t="shared" ref="D21:H25" si="0">H11</f>
        <v>Power &amp; Utilities</v>
      </c>
      <c r="E21" s="64" t="str">
        <f t="shared" si="0"/>
        <v>Project finance</v>
      </c>
      <c r="F21" s="65" t="str">
        <f t="shared" si="0"/>
        <v>Aligned</v>
      </c>
      <c r="G21" s="81">
        <f t="shared" si="0"/>
        <v>120</v>
      </c>
      <c r="H21" s="81">
        <f t="shared" si="0"/>
        <v>30</v>
      </c>
      <c r="I21" s="81">
        <f>IFERROR(H21*1000/G21,0)</f>
        <v>250</v>
      </c>
      <c r="J21" s="81">
        <f>$C$11</f>
        <v>4820</v>
      </c>
      <c r="K21" s="81">
        <f>J21+G21</f>
        <v>4940</v>
      </c>
      <c r="L21" s="81">
        <f>$C$12</f>
        <v>8100</v>
      </c>
      <c r="M21" s="81">
        <f>L21+H21</f>
        <v>8130</v>
      </c>
      <c r="N21" s="81">
        <f>$C$13</f>
        <v>1681</v>
      </c>
      <c r="O21" s="82">
        <f>ROUND(M21*1000/K21,0)</f>
        <v>1646</v>
      </c>
      <c r="P21" s="83">
        <f>O21/N21-1</f>
        <v>-2.0820939916716186E-2</v>
      </c>
      <c r="Q21" s="84">
        <f>$C$14</f>
        <v>2.7985145228215766</v>
      </c>
      <c r="R21" s="84">
        <f>M11</f>
        <v>1.625</v>
      </c>
      <c r="S21" s="84">
        <f>ROUND((Q21*J21+R21*G21)/K21,2)</f>
        <v>2.77</v>
      </c>
      <c r="T21" s="81">
        <f>$C$11*$C$15+IF(F21="Aligned",G21,0)</f>
        <v>1488.88</v>
      </c>
      <c r="U21" s="81">
        <f>$C$11*$C$16+IF(F21="Partially aligned",G21,0)</f>
        <v>1783.4</v>
      </c>
      <c r="V21" s="81">
        <f>$C$11*$C$17+IF(F21="Misaligned",G21,0)</f>
        <v>1667.7200000000003</v>
      </c>
      <c r="W21" s="83">
        <f>T21/K21</f>
        <v>0.30139271255060729</v>
      </c>
      <c r="X21" s="83">
        <f>U21/K21</f>
        <v>0.36101214574898788</v>
      </c>
      <c r="Y21" s="83">
        <f>V21/K21</f>
        <v>0.33759514170040489</v>
      </c>
      <c r="Z21" s="64" t="str">
        <f>N11</f>
        <v>Low-carbon growth</v>
      </c>
      <c r="AA21" s="65" t="str">
        <f>IF(F21="Aligned","Aligned exposure increases to "&amp;TEXT(W21,"0.0%"),IF(F21="Partially aligned","Partially aligned exposure increases to "&amp;TEXT(X21,"0.0%"),"Misaligned exposure increases to "&amp;TEXT(Y21,"0.0%")))</f>
        <v>Aligned exposure increases to 30.1%</v>
      </c>
      <c r="AB21" s="65" t="str">
        <f t="shared" ref="AB21:AC25" si="1">Q11</f>
        <v>Proceed</v>
      </c>
      <c r="AC21" s="65" t="str">
        <f t="shared" si="1"/>
        <v>Lower marginal portfolio intensity, credible transition use of proceeds and stronger data-quality profile.</v>
      </c>
      <c r="AD21" s="64"/>
      <c r="AE21" s="64"/>
    </row>
    <row r="22" spans="1:31" ht="18" customHeight="1">
      <c r="B22" s="65" t="str">
        <f>G12</f>
        <v>Gas-fired utility corporate loan</v>
      </c>
      <c r="C22" s="65" t="str">
        <f>F12</f>
        <v>TX02</v>
      </c>
      <c r="D22" s="65" t="str">
        <f t="shared" si="0"/>
        <v>Power &amp; Utilities</v>
      </c>
      <c r="E22" s="64" t="str">
        <f t="shared" si="0"/>
        <v>Corporate loan</v>
      </c>
      <c r="F22" s="65" t="str">
        <f t="shared" si="0"/>
        <v>Partially aligned</v>
      </c>
      <c r="G22" s="81">
        <f t="shared" si="0"/>
        <v>95</v>
      </c>
      <c r="H22" s="81">
        <f t="shared" si="0"/>
        <v>180</v>
      </c>
      <c r="I22" s="81">
        <f>IFERROR(H22*1000/G22,0)</f>
        <v>1894.7368421052631</v>
      </c>
      <c r="J22" s="81">
        <f>$C$11</f>
        <v>4820</v>
      </c>
      <c r="K22" s="81">
        <f>J22+G22</f>
        <v>4915</v>
      </c>
      <c r="L22" s="81">
        <f>$C$12</f>
        <v>8100</v>
      </c>
      <c r="M22" s="81">
        <f>L22+H22</f>
        <v>8280</v>
      </c>
      <c r="N22" s="81">
        <f>$C$13</f>
        <v>1681</v>
      </c>
      <c r="O22" s="82">
        <f>ROUND(M22*1000/K22,0)</f>
        <v>1685</v>
      </c>
      <c r="P22" s="83">
        <f>O22/N22-1</f>
        <v>2.3795359904819069E-3</v>
      </c>
      <c r="Q22" s="84">
        <f>$C$14</f>
        <v>2.7985145228215766</v>
      </c>
      <c r="R22" s="84">
        <f>M12</f>
        <v>3.3929999999999998</v>
      </c>
      <c r="S22" s="84">
        <f>ROUND((Q22*J22+R22*G22)/K22,2)</f>
        <v>2.81</v>
      </c>
      <c r="T22" s="81">
        <f>$C$11*$C$15+IF(F22="Aligned",G22,0)</f>
        <v>1368.88</v>
      </c>
      <c r="U22" s="81">
        <f>$C$11*$C$16+IF(F22="Partially aligned",G22,0)</f>
        <v>1878.4</v>
      </c>
      <c r="V22" s="81">
        <f>$C$11*$C$17+IF(F22="Misaligned",G22,0)</f>
        <v>1667.7200000000003</v>
      </c>
      <c r="W22" s="83">
        <f>T22/K22</f>
        <v>0.27851068158697867</v>
      </c>
      <c r="X22" s="83">
        <f>U22/K22</f>
        <v>0.38217700915564601</v>
      </c>
      <c r="Y22" s="83">
        <f>V22/K22</f>
        <v>0.33931230925737543</v>
      </c>
      <c r="Z22" s="64" t="str">
        <f>N12</f>
        <v>Transition monitoring</v>
      </c>
      <c r="AA22" s="65" t="str">
        <f>IF(F22="Aligned","Aligned exposure increases to "&amp;TEXT(W22,"0.0%"),IF(F22="Partially aligned","Partially aligned exposure increases to "&amp;TEXT(X22,"0.0%"),"Misaligned exposure increases to "&amp;TEXT(Y22,"0.0%")))</f>
        <v>Partially aligned exposure increases to 38.2%</v>
      </c>
      <c r="AB22" s="65" t="str">
        <f t="shared" si="1"/>
        <v>Proceed with monitoring conditions</v>
      </c>
      <c r="AC22" s="65" t="str">
        <f t="shared" si="1"/>
        <v>Limited intensity deterioration, but transition dependency and sector exposure require monitoring.</v>
      </c>
      <c r="AD22" s="64"/>
      <c r="AE22" s="64"/>
    </row>
    <row r="23" spans="1:31" ht="18" customHeight="1">
      <c r="B23" s="65" t="str">
        <f>G13</f>
        <v>Steel transition capex facility</v>
      </c>
      <c r="C23" s="65" t="str">
        <f>F13</f>
        <v>TX03</v>
      </c>
      <c r="D23" s="65" t="str">
        <f t="shared" si="0"/>
        <v>Steel</v>
      </c>
      <c r="E23" s="64" t="str">
        <f t="shared" si="0"/>
        <v>Transition capex facility</v>
      </c>
      <c r="F23" s="65" t="str">
        <f t="shared" si="0"/>
        <v>Misaligned</v>
      </c>
      <c r="G23" s="81">
        <f t="shared" si="0"/>
        <v>110</v>
      </c>
      <c r="H23" s="81">
        <f t="shared" si="0"/>
        <v>260</v>
      </c>
      <c r="I23" s="81">
        <f>IFERROR(H23*1000/G23,0)</f>
        <v>2363.6363636363635</v>
      </c>
      <c r="J23" s="81">
        <f>$C$11</f>
        <v>4820</v>
      </c>
      <c r="K23" s="81">
        <f>J23+G23</f>
        <v>4930</v>
      </c>
      <c r="L23" s="81">
        <f>$C$12</f>
        <v>8100</v>
      </c>
      <c r="M23" s="81">
        <f>L23+H23</f>
        <v>8360</v>
      </c>
      <c r="N23" s="81">
        <f>$C$13</f>
        <v>1681</v>
      </c>
      <c r="O23" s="82">
        <f>ROUND(M23*1000/K23,0)</f>
        <v>1696</v>
      </c>
      <c r="P23" s="83">
        <f>O23/N23-1</f>
        <v>8.9232599643069843E-3</v>
      </c>
      <c r="Q23" s="84">
        <f>$C$14</f>
        <v>2.7985145228215766</v>
      </c>
      <c r="R23" s="84">
        <f>M13</f>
        <v>2.4169999999999998</v>
      </c>
      <c r="S23" s="84">
        <f>ROUND((Q23*J23+R23*G23)/K23,2)</f>
        <v>2.79</v>
      </c>
      <c r="T23" s="81">
        <f>$C$11*$C$15+IF(F23="Aligned",G23,0)</f>
        <v>1368.88</v>
      </c>
      <c r="U23" s="81">
        <f>$C$11*$C$16+IF(F23="Partially aligned",G23,0)</f>
        <v>1783.4</v>
      </c>
      <c r="V23" s="81">
        <f>$C$11*$C$17+IF(F23="Misaligned",G23,0)</f>
        <v>1777.7200000000003</v>
      </c>
      <c r="W23" s="83">
        <f>T23/K23</f>
        <v>0.27766328600405682</v>
      </c>
      <c r="X23" s="83">
        <f>U23/K23</f>
        <v>0.3617444219066937</v>
      </c>
      <c r="Y23" s="83">
        <f>V23/K23</f>
        <v>0.36059229208924953</v>
      </c>
      <c r="Z23" s="64" t="str">
        <f>N13</f>
        <v>Transition capex</v>
      </c>
      <c r="AA23" s="65" t="str">
        <f>IF(F23="Aligned","Aligned exposure increases to "&amp;TEXT(W23,"0.0%"),IF(F23="Partially aligned","Partially aligned exposure increases to "&amp;TEXT(X23,"0.0%"),"Misaligned exposure increases to "&amp;TEXT(Y23,"0.0%")))</f>
        <v>Misaligned exposure increases to 36.1%</v>
      </c>
      <c r="AB23" s="65" t="str">
        <f t="shared" si="1"/>
        <v>Proceed with transition covenants</v>
      </c>
      <c r="AC23" s="65" t="str">
        <f t="shared" si="1"/>
        <v>Higher marginal intensity is mitigated by transition capex use of proceeds and covenant-based monitoring.</v>
      </c>
      <c r="AD23" s="64"/>
      <c r="AE23" s="64"/>
    </row>
    <row r="24" spans="1:31" ht="18" customHeight="1">
      <c r="B24" s="65" t="str">
        <f>G14</f>
        <v>Oil &amp; Gas upstream corporate facility</v>
      </c>
      <c r="C24" s="65" t="str">
        <f>F14</f>
        <v>TX04</v>
      </c>
      <c r="D24" s="65" t="str">
        <f t="shared" si="0"/>
        <v>Oil &amp; Gas</v>
      </c>
      <c r="E24" s="64" t="str">
        <f t="shared" si="0"/>
        <v>Corporate loan</v>
      </c>
      <c r="F24" s="65" t="str">
        <f t="shared" si="0"/>
        <v>Misaligned</v>
      </c>
      <c r="G24" s="81">
        <f t="shared" si="0"/>
        <v>130</v>
      </c>
      <c r="H24" s="81">
        <f t="shared" si="0"/>
        <v>520</v>
      </c>
      <c r="I24" s="81">
        <f>IFERROR(H24*1000/G24,0)</f>
        <v>4000</v>
      </c>
      <c r="J24" s="81">
        <f>$C$11</f>
        <v>4820</v>
      </c>
      <c r="K24" s="81">
        <f>J24+G24</f>
        <v>4950</v>
      </c>
      <c r="L24" s="81">
        <f>$C$12</f>
        <v>8100</v>
      </c>
      <c r="M24" s="81">
        <f>L24+H24</f>
        <v>8620</v>
      </c>
      <c r="N24" s="81">
        <f>$C$13</f>
        <v>1681</v>
      </c>
      <c r="O24" s="82">
        <f>ROUND(M24*1000/K24,0)</f>
        <v>1741</v>
      </c>
      <c r="P24" s="83">
        <f>O24/N24-1</f>
        <v>3.5693039857227937E-2</v>
      </c>
      <c r="Q24" s="84">
        <f>$C$14</f>
        <v>2.7985145228215766</v>
      </c>
      <c r="R24" s="84">
        <f>M14</f>
        <v>4.7590000000000003</v>
      </c>
      <c r="S24" s="84">
        <f>ROUND((Q24*J24+R24*G24)/K24,2)</f>
        <v>2.85</v>
      </c>
      <c r="T24" s="81">
        <f>$C$11*$C$15+IF(F24="Aligned",G24,0)</f>
        <v>1368.88</v>
      </c>
      <c r="U24" s="81">
        <f>$C$11*$C$16+IF(F24="Partially aligned",G24,0)</f>
        <v>1783.4</v>
      </c>
      <c r="V24" s="81">
        <f>$C$11*$C$17+IF(F24="Misaligned",G24,0)</f>
        <v>1797.7200000000003</v>
      </c>
      <c r="W24" s="83">
        <f>T24/K24</f>
        <v>0.27654141414141414</v>
      </c>
      <c r="X24" s="83">
        <f>U24/K24</f>
        <v>0.36028282828282832</v>
      </c>
      <c r="Y24" s="83">
        <f>V24/K24</f>
        <v>0.36317575757575765</v>
      </c>
      <c r="Z24" s="64" t="str">
        <f>N14</f>
        <v>High-carbon exposure</v>
      </c>
      <c r="AA24" s="65" t="str">
        <f>IF(F24="Aligned","Aligned exposure increases to "&amp;TEXT(W24,"0.0%"),IF(F24="Partially aligned","Partially aligned exposure increases to "&amp;TEXT(X24,"0.0%"),"Misaligned exposure increases to "&amp;TEXT(Y24,"0.0%")))</f>
        <v>Misaligned exposure increases to 36.3%</v>
      </c>
      <c r="AB24" s="65" t="str">
        <f t="shared" si="1"/>
        <v>Enhanced due diligence / portfolio committee review</v>
      </c>
      <c r="AC24" s="65" t="str">
        <f t="shared" si="1"/>
        <v>Material increase in portfolio intensity, high-carbon sector exposure and weaker transition profile.</v>
      </c>
      <c r="AD24" s="64"/>
      <c r="AE24" s="64"/>
    </row>
    <row r="25" spans="1:31" ht="18" customHeight="1">
      <c r="B25" s="65" t="str">
        <f>G15</f>
        <v>Real estate retrofit sustainability-linked loan</v>
      </c>
      <c r="C25" s="65" t="str">
        <f>F15</f>
        <v>TX05</v>
      </c>
      <c r="D25" s="65" t="str">
        <f t="shared" si="0"/>
        <v>Real Estate</v>
      </c>
      <c r="E25" s="64" t="str">
        <f t="shared" si="0"/>
        <v>Sustainability-linked loan</v>
      </c>
      <c r="F25" s="65" t="str">
        <f t="shared" si="0"/>
        <v>Aligned</v>
      </c>
      <c r="G25" s="81">
        <f t="shared" si="0"/>
        <v>85</v>
      </c>
      <c r="H25" s="81">
        <f t="shared" si="0"/>
        <v>20</v>
      </c>
      <c r="I25" s="81">
        <f>IFERROR(H25*1000/G25,0)</f>
        <v>235.29411764705881</v>
      </c>
      <c r="J25" s="81">
        <f>$C$11</f>
        <v>4820</v>
      </c>
      <c r="K25" s="81">
        <f>J25+G25</f>
        <v>4905</v>
      </c>
      <c r="L25" s="81">
        <f>$C$12</f>
        <v>8100</v>
      </c>
      <c r="M25" s="81">
        <f>L25+H25</f>
        <v>8120</v>
      </c>
      <c r="N25" s="81">
        <f>$C$13</f>
        <v>1681</v>
      </c>
      <c r="O25" s="82">
        <f>ROUND(M25*1000/K25,0)</f>
        <v>1655</v>
      </c>
      <c r="P25" s="83">
        <f>O25/N25-1</f>
        <v>-1.5466983938132062E-2</v>
      </c>
      <c r="Q25" s="84">
        <f>$C$14</f>
        <v>2.7985145228215766</v>
      </c>
      <c r="R25" s="84">
        <f>M15</f>
        <v>0.57599999999999996</v>
      </c>
      <c r="S25" s="84">
        <f>ROUND((Q25*J25+R25*G25)/K25,2)</f>
        <v>2.76</v>
      </c>
      <c r="T25" s="81">
        <f>$C$11*$C$15+IF(F25="Aligned",G25,0)</f>
        <v>1453.88</v>
      </c>
      <c r="U25" s="81">
        <f>$C$11*$C$16+IF(F25="Partially aligned",G25,0)</f>
        <v>1783.4</v>
      </c>
      <c r="V25" s="81">
        <f>$C$11*$C$17+IF(F25="Misaligned",G25,0)</f>
        <v>1667.7200000000003</v>
      </c>
      <c r="W25" s="83">
        <f>T25/K25</f>
        <v>0.29640774719673807</v>
      </c>
      <c r="X25" s="83">
        <f>U25/K25</f>
        <v>0.36358817533129462</v>
      </c>
      <c r="Y25" s="83">
        <f>V25/K25</f>
        <v>0.34000407747196743</v>
      </c>
      <c r="Z25" s="64" t="str">
        <f>N15</f>
        <v>Retrofit / efficiency</v>
      </c>
      <c r="AA25" s="65" t="str">
        <f>IF(F25="Aligned","Aligned exposure increases to "&amp;TEXT(W25,"0.0%"),IF(F25="Partially aligned","Partially aligned exposure increases to "&amp;TEXT(X25,"0.0%"),"Misaligned exposure increases to "&amp;TEXT(Y25,"0.0%")))</f>
        <v>Aligned exposure increases to 29.6%</v>
      </c>
      <c r="AB25" s="65" t="str">
        <f t="shared" si="1"/>
        <v>Proceed</v>
      </c>
      <c r="AC25" s="65" t="str">
        <f t="shared" si="1"/>
        <v>Lower marginal intensity, aligned use of proceeds and strong data-quality profile.</v>
      </c>
      <c r="AD25" s="64"/>
      <c r="AE25" s="64"/>
    </row>
    <row r="26" spans="1:31"/>
    <row r="27" spans="1:31"/>
    <row r="28" spans="1:31" ht="18" customHeight="1">
      <c r="A28" t="s">
        <v>11</v>
      </c>
      <c r="B28" s="85" t="s">
        <v>552</v>
      </c>
      <c r="C28" s="85"/>
      <c r="D28" s="85"/>
      <c r="E28" s="85"/>
      <c r="F28" s="85"/>
      <c r="G28" s="77"/>
      <c r="H28" s="77"/>
      <c r="I28" s="77"/>
      <c r="J28" s="77"/>
      <c r="K28" s="77"/>
      <c r="L28" s="77"/>
      <c r="M28" s="77"/>
      <c r="N28" s="77"/>
      <c r="O28" s="77"/>
      <c r="P28" s="77"/>
      <c r="Q28" s="77"/>
      <c r="R28" s="77"/>
      <c r="S28" s="77"/>
      <c r="T28" s="77"/>
      <c r="U28" s="77"/>
      <c r="V28" s="77"/>
      <c r="W28" s="77"/>
      <c r="X28" s="77"/>
      <c r="Y28" s="77"/>
      <c r="Z28" s="77"/>
      <c r="AA28" s="77"/>
    </row>
    <row r="29" spans="1:31" ht="29.25" customHeight="1">
      <c r="B29" s="100" t="s">
        <v>251</v>
      </c>
      <c r="C29" s="100" t="s">
        <v>553</v>
      </c>
      <c r="D29" s="100" t="s">
        <v>554</v>
      </c>
      <c r="E29" s="100" t="s">
        <v>555</v>
      </c>
      <c r="F29" s="100" t="s">
        <v>556</v>
      </c>
      <c r="H29" s="79"/>
      <c r="I29" s="79"/>
      <c r="J29" s="79"/>
      <c r="K29" s="79"/>
    </row>
    <row r="30" spans="1:31" ht="17" customHeight="1">
      <c r="B30" s="65" t="s">
        <v>332</v>
      </c>
      <c r="C30" s="81">
        <f>$C$11</f>
        <v>4820</v>
      </c>
      <c r="D30" s="81">
        <f>INDEX($G$21:$G$25,MATCH($C$5,$C$21:$C$25,0))</f>
        <v>130</v>
      </c>
      <c r="E30" s="81">
        <f>INDEX($K$21:$K$25,MATCH($C$5,$C$21:$C$25,0))</f>
        <v>4950</v>
      </c>
      <c r="F30" s="65" t="s">
        <v>557</v>
      </c>
      <c r="H30" s="65"/>
      <c r="I30" s="65"/>
      <c r="J30" s="65"/>
      <c r="K30" s="65"/>
    </row>
    <row r="31" spans="1:31" ht="17" customHeight="1">
      <c r="B31" s="65" t="s">
        <v>238</v>
      </c>
      <c r="C31" s="81">
        <f>$C$12</f>
        <v>8100</v>
      </c>
      <c r="D31" s="81">
        <f>INDEX($H$21:$H$25,MATCH($C$5,$C$21:$C$25,0))</f>
        <v>520</v>
      </c>
      <c r="E31" s="81">
        <f>INDEX($M$21:$M$25,MATCH($C$5,$C$21:$C$25,0))</f>
        <v>8620</v>
      </c>
      <c r="F31" s="65" t="s">
        <v>558</v>
      </c>
    </row>
    <row r="32" spans="1:31" ht="17" customHeight="1">
      <c r="B32" s="65" t="s">
        <v>506</v>
      </c>
      <c r="C32" s="82">
        <f>$C$13</f>
        <v>1681</v>
      </c>
      <c r="D32" s="82">
        <f>INDEX($O$21:$O$25,MATCH($C$5,$C$21:$C$25,0))-$C$13</f>
        <v>60</v>
      </c>
      <c r="E32" s="82">
        <f>INDEX($O$21:$O$25,MATCH($C$5,$C$21:$C$25,0))</f>
        <v>1741</v>
      </c>
      <c r="F32" s="65" t="s">
        <v>559</v>
      </c>
    </row>
    <row r="33" spans="1:30" ht="17" customHeight="1">
      <c r="B33" s="65" t="s">
        <v>516</v>
      </c>
      <c r="C33" s="84">
        <f>$C$14</f>
        <v>2.7985145228215766</v>
      </c>
      <c r="D33" s="84">
        <f>INDEX($S$21:$S$25,MATCH($C$5,$C$21:$C$25,0))-$C$14</f>
        <v>5.1485477178423444E-2</v>
      </c>
      <c r="E33" s="84">
        <f>INDEX($S$21:$S$25,MATCH($C$5,$C$21:$C$25,0))</f>
        <v>2.85</v>
      </c>
      <c r="F33" s="65" t="s">
        <v>560</v>
      </c>
    </row>
    <row r="34" spans="1:30" ht="17" customHeight="1">
      <c r="B34" s="65" t="s">
        <v>524</v>
      </c>
      <c r="C34" s="83">
        <f>$C$15</f>
        <v>0.28400000000000003</v>
      </c>
      <c r="D34" s="83">
        <f>INDEX($W$21:$W$25,MATCH($C$5,$C$21:$C$25,0))-$C$15</f>
        <v>-7.4585858585858866E-3</v>
      </c>
      <c r="E34" s="83">
        <f>INDEX($W$21:$W$25,MATCH($C$5,$C$21:$C$25,0))</f>
        <v>0.27654141414141414</v>
      </c>
      <c r="F34" s="65" t="s">
        <v>561</v>
      </c>
    </row>
    <row r="35" spans="1:30" ht="17" customHeight="1">
      <c r="B35" s="65" t="s">
        <v>532</v>
      </c>
      <c r="C35" s="83">
        <f>$C$16</f>
        <v>0.37</v>
      </c>
      <c r="D35" s="83">
        <f>INDEX($X$21:$X$25,MATCH($C$5,$C$21:$C$25,0))-$C$16</f>
        <v>-9.7171717171716798E-3</v>
      </c>
      <c r="E35" s="83">
        <f>INDEX($X$21:$X$25,MATCH($C$5,$C$21:$C$25,0))</f>
        <v>0.36028282828282832</v>
      </c>
      <c r="F35" s="65" t="s">
        <v>562</v>
      </c>
    </row>
    <row r="36" spans="1:30" ht="17" customHeight="1">
      <c r="B36" s="65" t="s">
        <v>534</v>
      </c>
      <c r="C36" s="83">
        <f>$C$17</f>
        <v>0.34600000000000003</v>
      </c>
      <c r="D36" s="83">
        <f>INDEX($Y$21:$Y$25,MATCH($C$5,$C$21:$C$25,0))-$C$17</f>
        <v>1.7175757575757622E-2</v>
      </c>
      <c r="E36" s="83">
        <f>INDEX($Y$21:$Y$25,MATCH($C$5,$C$21:$C$25,0))</f>
        <v>0.36317575757575765</v>
      </c>
      <c r="F36" s="65" t="s">
        <v>563</v>
      </c>
    </row>
    <row r="37" spans="1:30"/>
    <row r="38" spans="1:30" ht="16" customHeight="1">
      <c r="A38" t="s">
        <v>11</v>
      </c>
      <c r="B38" s="85"/>
      <c r="C38" s="85"/>
      <c r="D38" s="85"/>
      <c r="E38" s="85"/>
      <c r="F38" s="85"/>
      <c r="G38" s="85"/>
      <c r="H38" s="85"/>
      <c r="I38" s="85"/>
      <c r="J38" s="85"/>
      <c r="K38" s="85"/>
      <c r="L38" s="85"/>
      <c r="M38" s="85"/>
      <c r="N38" s="85"/>
      <c r="O38" s="85"/>
      <c r="P38" s="85"/>
      <c r="Q38" s="85"/>
      <c r="R38" s="85"/>
      <c r="S38" s="85"/>
      <c r="T38" s="85"/>
      <c r="U38" s="85"/>
      <c r="V38" s="85"/>
      <c r="W38" s="85"/>
      <c r="X38" s="85"/>
      <c r="Y38" s="85"/>
      <c r="Z38" s="85"/>
      <c r="AA38" s="85"/>
      <c r="AB38" s="87"/>
      <c r="AC38" s="87"/>
      <c r="AD38" s="87"/>
    </row>
    <row r="39" spans="1:30" ht="29.25" customHeight="1">
      <c r="F39" s="77"/>
      <c r="G39" s="77"/>
      <c r="H39" s="77"/>
      <c r="I39" s="77"/>
      <c r="J39" s="77"/>
      <c r="K39" s="77"/>
      <c r="L39" s="77"/>
      <c r="M39" s="77"/>
      <c r="N39" s="77"/>
      <c r="O39" s="77"/>
      <c r="P39" s="77"/>
      <c r="Q39" s="77"/>
      <c r="R39" s="77"/>
      <c r="S39" s="77"/>
      <c r="T39" s="77"/>
      <c r="U39" s="77"/>
      <c r="V39" s="77"/>
      <c r="W39" s="77"/>
      <c r="X39" s="77"/>
      <c r="Y39" s="77"/>
      <c r="Z39" s="77"/>
      <c r="AA39" s="77"/>
    </row>
  </sheetData>
  <dataValidations count="2">
    <dataValidation type="list" sqref="C3" xr:uid="{00000000-0002-0000-0700-000000000000}">
      <formula1>"TX01,TX02,TX03,TX04,TX05"</formula1>
    </dataValidation>
    <dataValidation type="list" sqref="C5" xr:uid="{00000000-0002-0000-0700-000001000000}">
      <formula1>$F$11:$F$15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F104"/>
  <sheetViews>
    <sheetView showGridLines="0" workbookViewId="0"/>
  </sheetViews>
  <sheetFormatPr baseColWidth="10" defaultColWidth="0" defaultRowHeight="14"/>
  <cols>
    <col min="1" max="1" width="2.83203125" customWidth="1"/>
    <col min="2" max="2" width="21" customWidth="1"/>
    <col min="3" max="3" width="52" customWidth="1"/>
    <col min="4" max="5" width="24" customWidth="1"/>
    <col min="6" max="6" width="30.1640625" customWidth="1"/>
    <col min="7" max="7" width="24" customWidth="1"/>
    <col min="8" max="10" width="8.83203125" customWidth="1"/>
    <col min="11" max="32" width="0" hidden="1" customWidth="1"/>
    <col min="33" max="16384" width="8.83203125" hidden="1"/>
  </cols>
  <sheetData>
    <row r="1" spans="1:30" ht="48" customHeight="1">
      <c r="A1" s="132" t="s">
        <v>564</v>
      </c>
      <c r="B1" s="21"/>
      <c r="C1" s="21"/>
      <c r="D1" s="21"/>
      <c r="E1" s="21"/>
      <c r="F1" s="21"/>
      <c r="G1" s="21"/>
      <c r="H1" s="21"/>
      <c r="I1" s="21"/>
      <c r="J1" s="140"/>
      <c r="K1" s="140"/>
      <c r="L1" s="140"/>
      <c r="M1" s="140"/>
      <c r="N1" s="140"/>
      <c r="O1" s="140"/>
      <c r="P1" s="140"/>
      <c r="Q1" s="140"/>
      <c r="R1" s="140"/>
      <c r="S1" s="140"/>
      <c r="T1" s="140"/>
      <c r="U1" s="140"/>
      <c r="V1" s="140"/>
      <c r="W1" s="140"/>
      <c r="X1" s="140"/>
      <c r="Y1" s="140"/>
      <c r="Z1" s="140"/>
      <c r="AA1" s="140"/>
      <c r="AB1" s="140"/>
      <c r="AC1" s="140"/>
      <c r="AD1" s="140"/>
    </row>
    <row r="2" spans="1:30" ht="16" customHeight="1">
      <c r="A2" s="34" t="s">
        <v>565</v>
      </c>
      <c r="B2" s="75"/>
      <c r="C2" s="75"/>
      <c r="D2" s="75"/>
      <c r="E2" s="75"/>
      <c r="F2" s="75"/>
      <c r="G2" s="75"/>
      <c r="H2" s="75"/>
      <c r="I2" s="75"/>
      <c r="J2" s="166"/>
      <c r="K2" s="166"/>
      <c r="L2" s="166"/>
      <c r="M2" s="166"/>
      <c r="N2" s="166"/>
      <c r="O2" s="166"/>
      <c r="P2" s="166"/>
      <c r="Q2" s="166"/>
      <c r="R2" s="166"/>
      <c r="S2" s="166"/>
      <c r="T2" s="166"/>
      <c r="U2" s="166"/>
      <c r="V2" s="166"/>
      <c r="W2" s="166"/>
      <c r="X2" s="166"/>
      <c r="Y2" s="166"/>
      <c r="Z2" s="166"/>
      <c r="AA2" s="166"/>
      <c r="AB2" s="166"/>
      <c r="AC2" s="166"/>
      <c r="AD2" s="166"/>
    </row>
    <row r="4" spans="1:30" ht="15">
      <c r="A4" t="s">
        <v>11</v>
      </c>
      <c r="B4" s="85" t="s">
        <v>566</v>
      </c>
      <c r="C4" s="85"/>
      <c r="D4" s="85"/>
      <c r="E4" s="85"/>
      <c r="F4" s="85"/>
      <c r="G4" s="85"/>
    </row>
    <row r="5" spans="1:30" ht="13" customHeight="1">
      <c r="B5" s="13" t="s">
        <v>33</v>
      </c>
      <c r="C5" s="13" t="s">
        <v>567</v>
      </c>
      <c r="D5" s="13" t="s">
        <v>568</v>
      </c>
      <c r="E5" s="14" t="s">
        <v>332</v>
      </c>
      <c r="F5" s="20" t="s">
        <v>569</v>
      </c>
      <c r="G5" s="20" t="s">
        <v>570</v>
      </c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</row>
    <row r="6" spans="1:30" ht="13" customHeight="1">
      <c r="B6" s="4">
        <f>1</f>
        <v>1</v>
      </c>
      <c r="C6" s="4" t="s">
        <v>571</v>
      </c>
      <c r="D6" s="4">
        <f>COUNTIF('01_Portfolio_Input'!W6:W65,B6)</f>
        <v>0</v>
      </c>
      <c r="E6" s="2">
        <f>SUMIF('01_Portfolio_Input'!W6:W65,B6,'01_Portfolio_Input'!I6:I65)</f>
        <v>0</v>
      </c>
      <c r="F6" s="3">
        <f>IFERROR(E6/SUM($E$6:$E$10),0)</f>
        <v>0</v>
      </c>
      <c r="G6" s="163">
        <f>IFERROR(B6*E6/SUM($E$6:$E$10),0)</f>
        <v>0</v>
      </c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spans="1:30" ht="13" customHeight="1">
      <c r="B7" s="4">
        <f>2</f>
        <v>2</v>
      </c>
      <c r="C7" s="4" t="s">
        <v>572</v>
      </c>
      <c r="D7" s="4">
        <f>COUNTIF('01_Portfolio_Input'!W6:W65,B7)</f>
        <v>23</v>
      </c>
      <c r="E7" s="2">
        <f>SUMIF('01_Portfolio_Input'!W6:W65,B7,'01_Portfolio_Input'!I6:I65)</f>
        <v>1738.88</v>
      </c>
      <c r="F7" s="3">
        <f>IFERROR(E7/SUM($E$6:$E$10),0)</f>
        <v>0.36076348547717846</v>
      </c>
      <c r="G7" s="163">
        <f>IFERROR(B7*E7/SUM($E$6:$E$10),0)</f>
        <v>0.72152697095435692</v>
      </c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</row>
    <row r="8" spans="1:30" ht="13" customHeight="1">
      <c r="B8" s="4">
        <f>3</f>
        <v>3</v>
      </c>
      <c r="C8" s="4" t="s">
        <v>573</v>
      </c>
      <c r="D8" s="4">
        <f>COUNTIF('01_Portfolio_Input'!W6:W65,B8)</f>
        <v>32</v>
      </c>
      <c r="E8" s="2">
        <f>SUMIF('01_Portfolio_Input'!W6:W65,B8,'01_Portfolio_Input'!I6:I65)</f>
        <v>2313.4</v>
      </c>
      <c r="F8" s="3">
        <f>IFERROR(E8/SUM($E$6:$E$10),0)</f>
        <v>0.47995850622406638</v>
      </c>
      <c r="G8" s="163">
        <f>IFERROR(B8*E8/SUM($E$6:$E$10),0)</f>
        <v>1.4398755186721994</v>
      </c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</row>
    <row r="9" spans="1:30" ht="13" customHeight="1">
      <c r="B9" s="4">
        <f>4</f>
        <v>4</v>
      </c>
      <c r="C9" s="4" t="s">
        <v>574</v>
      </c>
      <c r="D9" s="4">
        <f>COUNTIF('01_Portfolio_Input'!W6:W65,B9)</f>
        <v>5</v>
      </c>
      <c r="E9" s="2">
        <f>SUMIF('01_Portfolio_Input'!W6:W65,B9,'01_Portfolio_Input'!I6:I65)</f>
        <v>767.72</v>
      </c>
      <c r="F9" s="3">
        <f>IFERROR(E9/SUM($E$6:$E$10),0)</f>
        <v>0.15927800829875519</v>
      </c>
      <c r="G9" s="163">
        <f>IFERROR(B9*E9/SUM($E$6:$E$10),0)</f>
        <v>0.63711203319502074</v>
      </c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</row>
    <row r="10" spans="1:30" ht="13" customHeight="1">
      <c r="B10" s="4">
        <f>5</f>
        <v>5</v>
      </c>
      <c r="C10" s="4" t="s">
        <v>575</v>
      </c>
      <c r="D10" s="4">
        <f>COUNTIF('01_Portfolio_Input'!W6:W65,B10)</f>
        <v>0</v>
      </c>
      <c r="E10" s="2">
        <f>SUMIF('01_Portfolio_Input'!W6:W65,B10,'01_Portfolio_Input'!I6:I65)</f>
        <v>0</v>
      </c>
      <c r="F10" s="3">
        <f>IFERROR(E10/SUM($E$6:$E$10),0)</f>
        <v>0</v>
      </c>
      <c r="G10" s="163">
        <f>IFERROR(B10*E10/SUM($E$6:$E$10),0)</f>
        <v>0</v>
      </c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</row>
    <row r="11" spans="1:30" ht="13" customHeight="1"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</row>
    <row r="12" spans="1:30" ht="15" customHeight="1">
      <c r="D12" s="4"/>
      <c r="E12" s="4"/>
      <c r="F12" s="164" t="s">
        <v>262</v>
      </c>
      <c r="G12" s="165">
        <f>SUM(G6:G10)</f>
        <v>2.7985145228215771</v>
      </c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</row>
    <row r="13" spans="1:30"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</row>
    <row r="14" spans="1:30"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</row>
    <row r="15" spans="1:30" ht="16" customHeight="1">
      <c r="A15" t="s">
        <v>11</v>
      </c>
      <c r="B15" s="85"/>
      <c r="C15" s="85"/>
      <c r="D15" s="85"/>
      <c r="E15" s="85"/>
      <c r="F15" s="85"/>
      <c r="G15" s="85"/>
      <c r="H15" s="85"/>
      <c r="I15" s="85"/>
      <c r="J15" s="77"/>
      <c r="K15" s="77"/>
      <c r="L15" s="77"/>
      <c r="M15" s="77"/>
      <c r="N15" s="77"/>
      <c r="O15" s="77"/>
      <c r="P15" s="77"/>
      <c r="Q15" s="77"/>
      <c r="R15" s="77"/>
      <c r="S15" s="77"/>
      <c r="T15" s="77"/>
      <c r="U15" s="77"/>
      <c r="V15" s="77"/>
      <c r="W15" s="77"/>
      <c r="X15" s="77"/>
      <c r="Y15" s="77"/>
      <c r="Z15" s="77"/>
      <c r="AA15" s="77"/>
    </row>
    <row r="16" spans="1:30"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</row>
    <row r="17" spans="2:27" hidden="1"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</row>
    <row r="18" spans="2:27" hidden="1"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</row>
    <row r="19" spans="2:27" hidden="1"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</row>
    <row r="20" spans="2:27" hidden="1"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</row>
    <row r="21" spans="2:27" hidden="1"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</row>
    <row r="22" spans="2:27" hidden="1"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</row>
    <row r="23" spans="2:27" hidden="1"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</row>
    <row r="24" spans="2:27" hidden="1"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</row>
    <row r="25" spans="2:27" hidden="1"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</row>
    <row r="26" spans="2:27" hidden="1"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</row>
    <row r="27" spans="2:27" hidden="1"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</row>
    <row r="28" spans="2:27" hidden="1"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</row>
    <row r="29" spans="2:27" hidden="1"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</row>
    <row r="30" spans="2:27" hidden="1"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</row>
    <row r="31" spans="2:27" hidden="1"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</row>
    <row r="32" spans="2:27" hidden="1"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</row>
    <row r="33" spans="2:27" hidden="1"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</row>
    <row r="34" spans="2:27" hidden="1"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</row>
    <row r="35" spans="2:27" hidden="1"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</row>
    <row r="36" spans="2:27" hidden="1"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</row>
    <row r="37" spans="2:27" hidden="1"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</row>
    <row r="38" spans="2:27" hidden="1"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</row>
    <row r="39" spans="2:27" hidden="1"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</row>
    <row r="40" spans="2:27" hidden="1"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</row>
    <row r="41" spans="2:27" hidden="1"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</row>
    <row r="42" spans="2:27" hidden="1"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</row>
    <row r="43" spans="2:27" hidden="1"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</row>
    <row r="44" spans="2:27" hidden="1"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</row>
    <row r="45" spans="2:27" hidden="1"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</row>
    <row r="46" spans="2:27" hidden="1"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</row>
    <row r="47" spans="2:27" hidden="1"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</row>
    <row r="48" spans="2:27" hidden="1"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</row>
    <row r="49" spans="2:27" hidden="1"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</row>
    <row r="50" spans="2:27" hidden="1"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</row>
    <row r="51" spans="2:27" hidden="1"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</row>
    <row r="52" spans="2:27" hidden="1"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</row>
    <row r="53" spans="2:27" hidden="1"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</row>
    <row r="54" spans="2:27" hidden="1"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</row>
    <row r="55" spans="2:27" hidden="1"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</row>
    <row r="56" spans="2:27" hidden="1"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</row>
    <row r="57" spans="2:27" hidden="1"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</row>
    <row r="58" spans="2:27" hidden="1"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</row>
    <row r="59" spans="2:27" hidden="1"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</row>
    <row r="60" spans="2:27" hidden="1"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</row>
    <row r="61" spans="2:27" hidden="1"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</row>
    <row r="62" spans="2:27" hidden="1"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</row>
    <row r="63" spans="2:27" hidden="1"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</row>
    <row r="64" spans="2:27" hidden="1"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</row>
    <row r="65" spans="2:27" hidden="1"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</row>
    <row r="66" spans="2:27" hidden="1"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</row>
    <row r="67" spans="2:27" hidden="1"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</row>
    <row r="68" spans="2:27" hidden="1"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</row>
    <row r="69" spans="2:27" hidden="1"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</row>
    <row r="70" spans="2:27" hidden="1"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</row>
    <row r="71" spans="2:27" hidden="1"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</row>
    <row r="72" spans="2:27" hidden="1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</row>
    <row r="73" spans="2:27" hidden="1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</row>
    <row r="74" spans="2:27" hidden="1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</row>
    <row r="75" spans="2:27" hidden="1"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</row>
    <row r="76" spans="2:27" hidden="1"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</row>
    <row r="77" spans="2:27" hidden="1"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</row>
    <row r="78" spans="2:27" hidden="1"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</row>
    <row r="79" spans="2:27" hidden="1"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</row>
    <row r="80" spans="2:27" hidden="1"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</row>
    <row r="81" spans="2:27" hidden="1"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</row>
    <row r="82" spans="2:27" hidden="1"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</row>
    <row r="83" spans="2:27" hidden="1"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</row>
    <row r="84" spans="2:27" hidden="1"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</row>
    <row r="85" spans="2:27" hidden="1"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</row>
    <row r="86" spans="2:27" hidden="1"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</row>
    <row r="87" spans="2:27" hidden="1"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</row>
    <row r="88" spans="2:27" hidden="1"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</row>
    <row r="89" spans="2:27" hidden="1"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</row>
    <row r="90" spans="2:27" hidden="1"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</row>
    <row r="91" spans="2:27" hidden="1"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</row>
    <row r="92" spans="2:27" hidden="1"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</row>
    <row r="93" spans="2:27" hidden="1"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</row>
    <row r="94" spans="2:27" hidden="1"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</row>
    <row r="95" spans="2:27" hidden="1"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</row>
    <row r="96" spans="2:27" hidden="1"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</row>
    <row r="97" spans="2:27" hidden="1"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</row>
    <row r="98" spans="2:27" hidden="1"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</row>
    <row r="99" spans="2:27" hidden="1"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</row>
    <row r="100" spans="2:27" hidden="1"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</row>
    <row r="101" spans="2:27" hidden="1"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</row>
    <row r="102" spans="2:27" hidden="1"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</row>
    <row r="103" spans="2:27" hidden="1"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</row>
    <row r="104" spans="2:27" hidden="1"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00_Cover</vt:lpstr>
      <vt:lpstr>01_Portfolio_Input</vt:lpstr>
      <vt:lpstr>02_Company_Emissions</vt:lpstr>
      <vt:lpstr>03_Financed_Emissions</vt:lpstr>
      <vt:lpstr>04_Portfolio_KPIs</vt:lpstr>
      <vt:lpstr>05_Sector_Pathways</vt:lpstr>
      <vt:lpstr>06_Alignment_Analysis</vt:lpstr>
      <vt:lpstr>07_Transaction_Simulator</vt:lpstr>
      <vt:lpstr>08_Data_Quality</vt:lpstr>
      <vt:lpstr>09_Dashboard</vt:lpstr>
      <vt:lpstr>10_Assumptions</vt:lpstr>
      <vt:lpstr>11_QA_Checks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Danyel Lambert</dc:creator>
  <cp:keywords/>
  <dc:description/>
  <cp:lastModifiedBy>Danyel Lambert Da Silva (Student at CentraleSupelec)</cp:lastModifiedBy>
  <dcterms:created xsi:type="dcterms:W3CDTF">2026-07-05T02:00:14Z</dcterms:created>
  <dcterms:modified xsi:type="dcterms:W3CDTF">2026-07-05T23:05:08Z</dcterms:modified>
  <cp:category/>
</cp:coreProperties>
</file>